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A3GdvHmbQc11lx9z87Av9ERSptQua6U3w3SZiEWB90yBE/C+rOLRYP6jK9XWtH9e93OKqyKV2RKY2EcFFAEzmA==" workbookSaltValue="h/UaigLxZGfBSO+2HliG0w==" workbookSpinCount="100000" lockStructure="1"/>
  <bookViews>
    <workbookView xWindow="240" yWindow="75" windowWidth="28500" windowHeight="12525"/>
  </bookViews>
  <sheets>
    <sheet name="Contrôle P3-5" sheetId="2" r:id="rId1"/>
    <sheet name="Corrigé" sheetId="1" state="hidden" r:id="rId2"/>
  </sheets>
  <calcPr calcId="152511"/>
</workbook>
</file>

<file path=xl/calcChain.xml><?xml version="1.0" encoding="utf-8"?>
<calcChain xmlns="http://schemas.openxmlformats.org/spreadsheetml/2006/main">
  <c r="P42" i="1" l="1"/>
  <c r="O42" i="1"/>
  <c r="O41" i="1"/>
  <c r="O40" i="1"/>
  <c r="N40" i="1"/>
  <c r="M40" i="1"/>
  <c r="AI19" i="2"/>
  <c r="AI18" i="2"/>
  <c r="AI17" i="2"/>
  <c r="AI44" i="1" l="1"/>
  <c r="L40" i="1"/>
  <c r="L39" i="1"/>
  <c r="K39" i="1"/>
  <c r="K38" i="1"/>
  <c r="AI38" i="1"/>
  <c r="I38" i="1"/>
  <c r="H38" i="1"/>
  <c r="AT34" i="1"/>
  <c r="H37" i="1"/>
  <c r="G37" i="1"/>
  <c r="AI36" i="1"/>
  <c r="AI37" i="1"/>
  <c r="F37" i="1"/>
  <c r="F36" i="1"/>
  <c r="O49" i="1" l="1"/>
  <c r="AZ44" i="1"/>
  <c r="AU43" i="1"/>
  <c r="AT42" i="1"/>
  <c r="AT41" i="1"/>
  <c r="AP39" i="1"/>
  <c r="AJ35" i="1"/>
  <c r="G17" i="1"/>
  <c r="H17" i="1"/>
  <c r="I17" i="1"/>
  <c r="J17" i="1"/>
  <c r="K17" i="1"/>
  <c r="L17" i="1"/>
  <c r="M17" i="1"/>
  <c r="N17" i="1"/>
  <c r="O17" i="1"/>
  <c r="O27" i="1" s="1"/>
  <c r="P17" i="1"/>
  <c r="Q17" i="1"/>
  <c r="R17" i="1"/>
  <c r="S17" i="1"/>
  <c r="T17" i="1"/>
  <c r="U17" i="1"/>
  <c r="U27" i="1" s="1"/>
  <c r="V17" i="1"/>
  <c r="W17" i="1"/>
  <c r="W27" i="1" s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K27" i="1" s="1"/>
  <c r="L18" i="1"/>
  <c r="M18" i="1"/>
  <c r="N18" i="1"/>
  <c r="O18" i="1"/>
  <c r="P18" i="1"/>
  <c r="Q18" i="1"/>
  <c r="R18" i="1"/>
  <c r="R27" i="1" s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AU44" i="1" s="1"/>
  <c r="S25" i="1"/>
  <c r="AV44" i="1" s="1"/>
  <c r="T25" i="1"/>
  <c r="AW44" i="1" s="1"/>
  <c r="U25" i="1"/>
  <c r="AX44" i="1" s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F18" i="1"/>
  <c r="AJ36" i="1" s="1"/>
  <c r="F19" i="1"/>
  <c r="F20" i="1"/>
  <c r="F21" i="1"/>
  <c r="F22" i="1"/>
  <c r="F23" i="1"/>
  <c r="F24" i="1"/>
  <c r="F25" i="1"/>
  <c r="F26" i="1"/>
  <c r="F17" i="1"/>
  <c r="AK47" i="2"/>
  <c r="AK48" i="2" s="1"/>
  <c r="AK49" i="2" s="1"/>
  <c r="AK50" i="2" s="1"/>
  <c r="AK51" i="2" s="1"/>
  <c r="AK52" i="2" s="1"/>
  <c r="AK53" i="2" s="1"/>
  <c r="AK54" i="2" s="1"/>
  <c r="AK55" i="2" s="1"/>
  <c r="AK56" i="2" s="1"/>
  <c r="AK57" i="2" s="1"/>
  <c r="AK58" i="2" s="1"/>
  <c r="AP30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I25" i="2"/>
  <c r="AI24" i="2"/>
  <c r="AI23" i="2"/>
  <c r="AI22" i="2"/>
  <c r="AI21" i="2"/>
  <c r="AI20" i="2"/>
  <c r="J13" i="2"/>
  <c r="O13" i="2" s="1"/>
  <c r="T13" i="2" s="1"/>
  <c r="Y13" i="2" s="1"/>
  <c r="AD13" i="2" s="1"/>
  <c r="G9" i="2"/>
  <c r="AQ25" i="2" s="1"/>
  <c r="G8" i="2"/>
  <c r="AQ24" i="2" s="1"/>
  <c r="R46" i="1"/>
  <c r="AI41" i="1"/>
  <c r="AT40" i="1"/>
  <c r="P46" i="1"/>
  <c r="O46" i="1"/>
  <c r="AQ40" i="1"/>
  <c r="AP40" i="1"/>
  <c r="K46" i="1"/>
  <c r="AK36" i="1"/>
  <c r="AO39" i="1"/>
  <c r="AO38" i="1"/>
  <c r="AK47" i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P30" i="1"/>
  <c r="AI43" i="1"/>
  <c r="G9" i="1"/>
  <c r="AM29" i="1" s="1"/>
  <c r="G8" i="1"/>
  <c r="AM28" i="1" s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J46" i="1"/>
  <c r="E46" i="1"/>
  <c r="I46" i="1"/>
  <c r="AL37" i="1"/>
  <c r="AL36" i="1"/>
  <c r="J32" i="1"/>
  <c r="O32" i="1" s="1"/>
  <c r="T32" i="1" s="1"/>
  <c r="Y32" i="1" s="1"/>
  <c r="AD32" i="1" s="1"/>
  <c r="AG27" i="1"/>
  <c r="AD27" i="1"/>
  <c r="AA27" i="1"/>
  <c r="I27" i="1"/>
  <c r="E27" i="1"/>
  <c r="J13" i="1"/>
  <c r="O13" i="1" s="1"/>
  <c r="T13" i="1" s="1"/>
  <c r="Y13" i="1" s="1"/>
  <c r="AD13" i="1" s="1"/>
  <c r="P27" i="1" l="1"/>
  <c r="T27" i="1"/>
  <c r="L27" i="1"/>
  <c r="S27" i="1"/>
  <c r="AQ23" i="1"/>
  <c r="Z27" i="1"/>
  <c r="AI21" i="1"/>
  <c r="AH27" i="1"/>
  <c r="J27" i="1"/>
  <c r="AR40" i="1"/>
  <c r="AQ24" i="1"/>
  <c r="M27" i="1"/>
  <c r="Q27" i="1"/>
  <c r="AM37" i="1"/>
  <c r="AS40" i="1"/>
  <c r="AI18" i="1"/>
  <c r="Y27" i="1"/>
  <c r="AC27" i="1"/>
  <c r="AQ22" i="1"/>
  <c r="AQ26" i="1" s="1"/>
  <c r="AQ25" i="1"/>
  <c r="AI39" i="1"/>
  <c r="AB27" i="1"/>
  <c r="AF27" i="1"/>
  <c r="X27" i="1"/>
  <c r="H27" i="1"/>
  <c r="AN38" i="1"/>
  <c r="AE27" i="1"/>
  <c r="G27" i="1"/>
  <c r="N27" i="1"/>
  <c r="V27" i="1"/>
  <c r="AI24" i="1"/>
  <c r="AI25" i="1"/>
  <c r="AI19" i="1"/>
  <c r="AI20" i="1"/>
  <c r="AI22" i="1"/>
  <c r="AI23" i="1"/>
  <c r="AI17" i="1"/>
  <c r="F27" i="1"/>
  <c r="AM29" i="2"/>
  <c r="AQ23" i="2"/>
  <c r="AM28" i="2"/>
  <c r="AQ22" i="2"/>
  <c r="AI42" i="1"/>
  <c r="Q46" i="1"/>
  <c r="AI40" i="1"/>
  <c r="F46" i="1"/>
  <c r="AM30" i="1"/>
  <c r="AM31" i="1" s="1"/>
  <c r="L46" i="1"/>
  <c r="N46" i="1"/>
  <c r="M46" i="1"/>
  <c r="H46" i="1"/>
  <c r="G46" i="1"/>
  <c r="AY44" i="1" l="1"/>
  <c r="AB2" i="1" s="1"/>
  <c r="AQ26" i="2"/>
  <c r="AM30" i="2"/>
  <c r="AM31" i="2" s="1"/>
</calcChain>
</file>

<file path=xl/sharedStrings.xml><?xml version="1.0" encoding="utf-8"?>
<sst xmlns="http://schemas.openxmlformats.org/spreadsheetml/2006/main" count="275" uniqueCount="80">
  <si>
    <t>C O N T R O L E</t>
  </si>
  <si>
    <t>P R E P A R A T I O N   d u   C O N T R O L E</t>
  </si>
  <si>
    <t>D E V O I R S</t>
  </si>
  <si>
    <t>………/5</t>
  </si>
  <si>
    <t>………/20</t>
  </si>
  <si>
    <t>E N O N C E   1 :</t>
  </si>
  <si>
    <t>…… /1pt</t>
  </si>
  <si>
    <t>…… /2pts</t>
  </si>
  <si>
    <t>…… /3pts</t>
  </si>
  <si>
    <t>…… /4pts</t>
  </si>
  <si>
    <t>…… /5pts</t>
  </si>
  <si>
    <t>…… /0,25pt</t>
  </si>
  <si>
    <t>…… /0,5pt</t>
  </si>
  <si>
    <t>???</t>
  </si>
  <si>
    <t>Date ???</t>
  </si>
  <si>
    <t xml:space="preserve"> /20</t>
  </si>
  <si>
    <r>
      <rPr>
        <sz val="20"/>
        <rFont val="Wingdings"/>
        <charset val="2"/>
      </rPr>
      <t>¿</t>
    </r>
    <r>
      <rPr>
        <sz val="5"/>
        <rFont val="Wingdings"/>
        <charset val="2"/>
      </rPr>
      <t xml:space="preserve"> </t>
    </r>
    <r>
      <rPr>
        <sz val="20"/>
        <rFont val="Tahoma"/>
        <family val="2"/>
      </rPr>
      <t>55mn</t>
    </r>
  </si>
  <si>
    <t>1er  M A V     M e n u i s e r i e    A l u m i n i u m   V e r r e</t>
  </si>
  <si>
    <t>Ter   M A V     M e n u i s e r i e    A l u m i n i u m   V e r r e</t>
  </si>
  <si>
    <t>CAP   M A V     M e n u i s e r i e    A l u m i n i u m   V e r r e</t>
  </si>
  <si>
    <t>2nd  M A V     M e n u i s e r i e    A l u m i n i u m   V e r r e</t>
  </si>
  <si>
    <t>P3-4</t>
  </si>
  <si>
    <t>Contrôle sur 44pts, note ramenée sur 20</t>
  </si>
  <si>
    <t>PLANNING</t>
  </si>
  <si>
    <t>Compléter le planning GANT ci-dessous pour proposer une date de fin de pose.</t>
  </si>
  <si>
    <t xml:space="preserve">9 PF 2v à fabriquer et à poser </t>
  </si>
  <si>
    <t>L =</t>
  </si>
  <si>
    <t>H =</t>
  </si>
  <si>
    <t>PLANNING FABRICATION + POSE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</si>
  <si>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2"/>
        <color indexed="8"/>
        <rFont val="Tahoma"/>
        <family val="2"/>
      </rPr>
      <t xml:space="preserve">Début débit barres : mardi 2 sept 2014 </t>
    </r>
  </si>
  <si>
    <t>L</t>
  </si>
  <si>
    <t>M</t>
  </si>
  <si>
    <t>J</t>
  </si>
  <si>
    <t>V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</si>
  <si>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2"/>
        <color indexed="8"/>
        <rFont val="Tahoma"/>
        <family val="2"/>
      </rPr>
      <t>Durée de travail du vendredi : 4h (pas de travail l’après-midi)</t>
    </r>
  </si>
  <si>
    <t>Débit dormant (h)</t>
  </si>
  <si>
    <t>Débit ouvrant (h)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</si>
  <si>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2"/>
        <color indexed="8"/>
        <rFont val="Tahoma"/>
        <family val="2"/>
      </rPr>
      <t>Mise en places des joints :2 minutes par ml</t>
    </r>
  </si>
  <si>
    <t>Vitrage : 13 minutes / châssis</t>
  </si>
  <si>
    <t>Assemblage (h)</t>
  </si>
  <si>
    <t>Transport : 2h</t>
  </si>
  <si>
    <t>Joint(h)</t>
  </si>
  <si>
    <t>Pose : 2h/châssis</t>
  </si>
  <si>
    <t>Vitrage (h)</t>
  </si>
  <si>
    <t>Linéaire de joint</t>
  </si>
  <si>
    <t>410009 =</t>
  </si>
  <si>
    <t>ml</t>
  </si>
  <si>
    <t>Transport (h)</t>
  </si>
  <si>
    <t>410010 =</t>
  </si>
  <si>
    <t>Pose (h)</t>
  </si>
  <si>
    <t>710010 =</t>
  </si>
  <si>
    <t>AS0017 =</t>
  </si>
  <si>
    <t>DATE de FIN de POSE :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</si>
  <si>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2"/>
        <color indexed="8"/>
        <rFont val="Tahoma"/>
        <family val="2"/>
      </rPr>
      <t>Durée d’une journée : 7 heures max</t>
    </r>
  </si>
  <si>
    <t>REF</t>
  </si>
  <si>
    <t>QTE</t>
  </si>
  <si>
    <t>LONG</t>
  </si>
  <si>
    <t>Linéaire :</t>
  </si>
  <si>
    <t>mm</t>
  </si>
  <si>
    <t>FICHE DE DEBIT DORMANT</t>
  </si>
  <si>
    <t>FICHE DE DEBIT OUVRANT</t>
  </si>
  <si>
    <t>H</t>
  </si>
  <si>
    <t>Profil ouvrant</t>
  </si>
  <si>
    <t>Profil de battement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</si>
  <si>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2"/>
        <color indexed="8"/>
        <rFont val="Tahoma"/>
        <family val="2"/>
      </rPr>
      <t>Entreprise fermée le lundi 6 sept pour formation</t>
    </r>
  </si>
  <si>
    <t>FICHE DE DEBIT autres profils</t>
  </si>
  <si>
    <t>parclose</t>
  </si>
  <si>
    <t>Tige de crémone TC</t>
  </si>
  <si>
    <t>Couvre joint</t>
  </si>
  <si>
    <t>Qté</t>
  </si>
  <si>
    <t>Débit parclose + TC + CV(h)</t>
  </si>
  <si>
    <t>Assemblage : 7 minutes par angle (dormant + ouvrant)</t>
  </si>
  <si>
    <t>QTE ANGLES</t>
  </si>
  <si>
    <t>Emballage : 15mn par châssis</t>
  </si>
  <si>
    <t>Emballage (h)</t>
  </si>
  <si>
    <t>P3-5</t>
  </si>
  <si>
    <t>3 point par bonne réponse</t>
  </si>
  <si>
    <t>Contrôle sur 69pts, note ramenée sur 20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</si>
  <si>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2"/>
        <color indexed="8"/>
        <rFont val="Tahoma"/>
        <family val="2"/>
      </rPr>
      <t>6 minutes par profil dormant, sinon 8 minutes pour les autres</t>
    </r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</si>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</sst>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sz val="8"/>
      <name val="Calibri"/>
      <family val="2"/>
    </font>
    <font>
      <i/>
      <sz val="16"/>
      <name val="Tahoma"/>
      <family val="2"/>
    </font>
    <font>
      <sz val="11"/>
      <name val="Tahoma"/>
      <family val="2"/>
    </font>
    <font>
      <sz val="12"/>
      <name val="Tahoma"/>
      <family val="2"/>
    </font>
    <font>
      <b/>
      <sz val="20"/>
      <name val="Tahoma"/>
      <family val="2"/>
    </font>
    <font>
      <i/>
      <sz val="11"/>
      <color indexed="12"/>
      <name val="Tahoma"/>
      <family val="2"/>
    </font>
    <font>
      <sz val="14"/>
      <color indexed="12"/>
      <name val="Tahoma"/>
      <family val="2"/>
    </font>
    <font>
      <sz val="8"/>
      <name val="Tahoma"/>
      <family val="2"/>
    </font>
    <font>
      <sz val="8"/>
      <color indexed="9"/>
      <name val="Tahoma"/>
      <family val="2"/>
    </font>
    <font>
      <sz val="12"/>
      <color indexed="8"/>
      <name val="Tahoma"/>
      <family val="2"/>
    </font>
    <font>
      <b/>
      <sz val="10"/>
      <color indexed="12"/>
      <name val="Tahoma"/>
      <family val="2"/>
    </font>
    <font>
      <sz val="11"/>
      <color indexed="9"/>
      <name val="Tahoma"/>
      <family val="2"/>
    </font>
    <font>
      <b/>
      <sz val="11"/>
      <color indexed="44"/>
      <name val="Tahoma"/>
      <family val="2"/>
    </font>
    <font>
      <sz val="36"/>
      <name val="Tahoma"/>
      <family val="2"/>
    </font>
    <font>
      <sz val="36"/>
      <color indexed="12"/>
      <name val="Tahoma"/>
      <family val="2"/>
    </font>
    <font>
      <sz val="20"/>
      <name val="Tahoma"/>
      <family val="2"/>
    </font>
    <font>
      <sz val="20"/>
      <name val="Wingdings"/>
      <charset val="2"/>
    </font>
    <font>
      <sz val="5"/>
      <name val="Wingdings"/>
      <charset val="2"/>
    </font>
    <font>
      <i/>
      <sz val="14"/>
      <color indexed="10"/>
      <name val="Tahoma"/>
      <family val="2"/>
    </font>
    <font>
      <sz val="11"/>
      <color rgb="FFFF0000"/>
      <name val="Tahoma"/>
      <family val="2"/>
    </font>
    <font>
      <b/>
      <sz val="14"/>
      <color rgb="FFFF0000"/>
      <name val="Tahoma"/>
      <family val="2"/>
    </font>
    <font>
      <b/>
      <sz val="12"/>
      <color rgb="FF00B050"/>
      <name val="Tahoma"/>
      <family val="2"/>
    </font>
    <font>
      <sz val="14"/>
      <color rgb="FF0000FF"/>
      <name val="Tahoma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indexed="9"/>
      <name val="Tahoma"/>
      <family val="2"/>
    </font>
    <font>
      <b/>
      <i/>
      <sz val="11"/>
      <color indexed="9"/>
      <name val="Tahom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indexed="8"/>
      <name val="Times New Roman"/>
      <family val="1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FF"/>
      <name val="Calibri"/>
      <family val="2"/>
      <scheme val="minor"/>
    </font>
    <font>
      <sz val="12"/>
      <color theme="1"/>
      <name val="Tahoma"/>
      <family val="2"/>
    </font>
    <font>
      <sz val="14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B05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 style="dashed">
        <color theme="0" tint="-0.24994659260841701"/>
      </left>
      <right style="medium">
        <color indexed="64"/>
      </right>
      <top/>
      <bottom style="dashed">
        <color theme="0" tint="-0.24994659260841701"/>
      </bottom>
      <diagonal/>
    </border>
    <border>
      <left style="medium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 style="dashed">
        <color theme="0" tint="-0.24994659260841701"/>
      </left>
      <right style="medium">
        <color indexed="64"/>
      </right>
      <top style="dashed">
        <color theme="0" tint="-0.24994659260841701"/>
      </top>
      <bottom/>
      <diagonal/>
    </border>
    <border>
      <left style="medium">
        <color indexed="64"/>
      </left>
      <right style="dashed">
        <color theme="0" tint="-0.24994659260841701"/>
      </right>
      <top style="dashed">
        <color theme="0" tint="-0.24994659260841701"/>
      </top>
      <bottom style="medium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medium">
        <color indexed="64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medium">
        <color indexed="64"/>
      </bottom>
      <diagonal/>
    </border>
    <border>
      <left style="dashed">
        <color theme="0" tint="-0.24994659260841701"/>
      </left>
      <right style="medium">
        <color indexed="64"/>
      </right>
      <top style="dashed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theme="0" tint="-0.34998626667073579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dotted">
        <color theme="0" tint="-0.34998626667073579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Protection="1"/>
    <xf numFmtId="0" fontId="21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top" shrinkToFit="1"/>
    </xf>
    <xf numFmtId="0" fontId="7" fillId="0" borderId="0" xfId="0" applyFont="1" applyAlignment="1" applyProtection="1">
      <alignment vertical="top" shrinkToFit="1"/>
    </xf>
    <xf numFmtId="164" fontId="22" fillId="0" borderId="2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top" shrinkToFit="1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9" fillId="0" borderId="0" xfId="0" applyFont="1" applyProtection="1"/>
    <xf numFmtId="0" fontId="29" fillId="4" borderId="0" xfId="0" applyFont="1" applyFill="1" applyAlignment="1" applyProtection="1">
      <alignment horizontal="center" vertical="center"/>
    </xf>
    <xf numFmtId="0" fontId="30" fillId="4" borderId="0" xfId="0" applyFont="1" applyFill="1" applyAlignment="1" applyProtection="1">
      <alignment horizontal="left" vertical="center"/>
    </xf>
    <xf numFmtId="0" fontId="31" fillId="4" borderId="0" xfId="0" applyFont="1" applyFill="1" applyAlignment="1" applyProtection="1">
      <alignment horizontal="center" vertical="center"/>
    </xf>
    <xf numFmtId="0" fontId="29" fillId="4" borderId="0" xfId="0" applyFont="1" applyFill="1" applyAlignment="1" applyProtection="1">
      <alignment horizontal="left" vertical="center"/>
    </xf>
    <xf numFmtId="0" fontId="32" fillId="0" borderId="0" xfId="0" applyFont="1" applyProtection="1"/>
    <xf numFmtId="0" fontId="31" fillId="0" borderId="10" xfId="0" applyFont="1" applyBorder="1" applyAlignment="1" applyProtection="1">
      <alignment horizontal="center" vertical="center"/>
    </xf>
    <xf numFmtId="0" fontId="31" fillId="0" borderId="11" xfId="0" applyFont="1" applyBorder="1" applyAlignment="1" applyProtection="1">
      <alignment horizontal="center" vertical="center"/>
    </xf>
    <xf numFmtId="0" fontId="31" fillId="0" borderId="12" xfId="0" applyFont="1" applyBorder="1" applyAlignment="1" applyProtection="1">
      <alignment horizontal="center" vertical="center"/>
    </xf>
    <xf numFmtId="0" fontId="31" fillId="0" borderId="13" xfId="0" applyFont="1" applyBorder="1" applyAlignment="1" applyProtection="1">
      <alignment horizontal="center" vertical="center"/>
    </xf>
    <xf numFmtId="0" fontId="34" fillId="4" borderId="0" xfId="0" applyFont="1" applyFill="1" applyAlignment="1" applyProtection="1">
      <alignment horizontal="center" vertical="center"/>
    </xf>
    <xf numFmtId="0" fontId="35" fillId="0" borderId="14" xfId="0" applyFont="1" applyBorder="1" applyAlignment="1" applyProtection="1">
      <alignment horizontal="center" vertical="center"/>
    </xf>
    <xf numFmtId="0" fontId="35" fillId="0" borderId="15" xfId="0" applyFont="1" applyBorder="1" applyAlignment="1" applyProtection="1">
      <alignment horizontal="center" vertical="center"/>
    </xf>
    <xf numFmtId="0" fontId="35" fillId="0" borderId="16" xfId="0" applyFont="1" applyBorder="1" applyAlignment="1" applyProtection="1">
      <alignment horizontal="center" vertical="center"/>
    </xf>
    <xf numFmtId="0" fontId="35" fillId="0" borderId="17" xfId="0" applyFont="1" applyBorder="1" applyAlignment="1" applyProtection="1">
      <alignment horizontal="center" vertical="center"/>
    </xf>
    <xf numFmtId="0" fontId="31" fillId="6" borderId="14" xfId="0" applyFont="1" applyFill="1" applyBorder="1" applyAlignment="1" applyProtection="1">
      <alignment horizontal="center" vertical="center"/>
    </xf>
    <xf numFmtId="0" fontId="31" fillId="6" borderId="15" xfId="0" applyFont="1" applyFill="1" applyBorder="1" applyAlignment="1" applyProtection="1">
      <alignment horizontal="center" vertical="center"/>
    </xf>
    <xf numFmtId="0" fontId="31" fillId="6" borderId="17" xfId="0" applyFont="1" applyFill="1" applyBorder="1" applyAlignment="1" applyProtection="1">
      <alignment horizontal="center" vertical="center"/>
    </xf>
    <xf numFmtId="0" fontId="31" fillId="4" borderId="0" xfId="0" applyFont="1" applyFill="1" applyAlignment="1" applyProtection="1">
      <alignment horizontal="right" vertical="center"/>
    </xf>
    <xf numFmtId="164" fontId="36" fillId="0" borderId="14" xfId="0" applyNumberFormat="1" applyFont="1" applyBorder="1" applyAlignment="1" applyProtection="1">
      <alignment horizontal="center" vertical="center"/>
      <protection locked="0"/>
    </xf>
    <xf numFmtId="164" fontId="36" fillId="0" borderId="15" xfId="0" applyNumberFormat="1" applyFont="1" applyBorder="1" applyAlignment="1" applyProtection="1">
      <alignment horizontal="center" vertical="center"/>
      <protection locked="0"/>
    </xf>
    <xf numFmtId="164" fontId="36" fillId="0" borderId="16" xfId="0" applyNumberFormat="1" applyFont="1" applyBorder="1" applyAlignment="1" applyProtection="1">
      <alignment horizontal="center" vertical="center"/>
      <protection locked="0"/>
    </xf>
    <xf numFmtId="164" fontId="36" fillId="0" borderId="17" xfId="0" applyNumberFormat="1" applyFont="1" applyBorder="1" applyAlignment="1" applyProtection="1">
      <alignment horizontal="center" vertical="center"/>
      <protection locked="0"/>
    </xf>
    <xf numFmtId="0" fontId="37" fillId="0" borderId="0" xfId="0" applyFont="1" applyProtection="1"/>
    <xf numFmtId="164" fontId="36" fillId="0" borderId="18" xfId="0" applyNumberFormat="1" applyFont="1" applyBorder="1" applyAlignment="1" applyProtection="1">
      <alignment horizontal="center" vertical="center"/>
      <protection locked="0"/>
    </xf>
    <xf numFmtId="164" fontId="36" fillId="0" borderId="19" xfId="0" applyNumberFormat="1" applyFont="1" applyBorder="1" applyAlignment="1" applyProtection="1">
      <alignment horizontal="center" vertical="center"/>
      <protection locked="0"/>
    </xf>
    <xf numFmtId="164" fontId="36" fillId="0" borderId="20" xfId="0" applyNumberFormat="1" applyFont="1" applyBorder="1" applyAlignment="1" applyProtection="1">
      <alignment horizontal="center" vertical="center"/>
      <protection locked="0"/>
    </xf>
    <xf numFmtId="164" fontId="36" fillId="0" borderId="21" xfId="0" applyNumberFormat="1" applyFont="1" applyBorder="1" applyAlignment="1" applyProtection="1">
      <alignment horizontal="center" vertical="center"/>
      <protection locked="0"/>
    </xf>
    <xf numFmtId="164" fontId="36" fillId="0" borderId="22" xfId="0" applyNumberFormat="1" applyFont="1" applyBorder="1" applyAlignment="1" applyProtection="1">
      <alignment horizontal="center" vertical="center"/>
      <protection locked="0"/>
    </xf>
    <xf numFmtId="164" fontId="36" fillId="0" borderId="23" xfId="0" applyNumberFormat="1" applyFont="1" applyBorder="1" applyAlignment="1" applyProtection="1">
      <alignment horizontal="center" vertical="center"/>
      <protection locked="0"/>
    </xf>
    <xf numFmtId="164" fontId="36" fillId="0" borderId="24" xfId="0" applyNumberFormat="1" applyFont="1" applyBorder="1" applyAlignment="1" applyProtection="1">
      <alignment horizontal="center" vertical="center"/>
      <protection locked="0"/>
    </xf>
    <xf numFmtId="164" fontId="36" fillId="0" borderId="25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shrinkToFit="1"/>
    </xf>
    <xf numFmtId="0" fontId="29" fillId="4" borderId="0" xfId="0" applyFont="1" applyFill="1" applyAlignment="1" applyProtection="1">
      <alignment horizontal="center" vertical="center" shrinkToFit="1"/>
    </xf>
    <xf numFmtId="164" fontId="31" fillId="4" borderId="0" xfId="0" applyNumberFormat="1" applyFont="1" applyFill="1" applyAlignment="1" applyProtection="1">
      <alignment horizontal="center" vertical="center" shrinkToFit="1"/>
    </xf>
    <xf numFmtId="0" fontId="38" fillId="4" borderId="0" xfId="0" applyFont="1" applyFill="1" applyAlignment="1" applyProtection="1">
      <alignment horizontal="left" vertical="center" shrinkToFit="1"/>
    </xf>
    <xf numFmtId="0" fontId="25" fillId="0" borderId="0" xfId="0" applyFont="1" applyAlignment="1" applyProtection="1">
      <alignment shrinkToFit="1"/>
    </xf>
    <xf numFmtId="0" fontId="0" fillId="0" borderId="0" xfId="0" applyAlignment="1" applyProtection="1">
      <alignment shrinkToFit="1"/>
    </xf>
    <xf numFmtId="0" fontId="25" fillId="0" borderId="0" xfId="0" applyFont="1" applyAlignment="1" applyProtection="1">
      <alignment horizontal="left"/>
    </xf>
    <xf numFmtId="0" fontId="25" fillId="0" borderId="0" xfId="0" applyFont="1" applyProtection="1"/>
    <xf numFmtId="0" fontId="26" fillId="0" borderId="0" xfId="0" applyFont="1" applyProtection="1"/>
    <xf numFmtId="164" fontId="40" fillId="0" borderId="14" xfId="0" applyNumberFormat="1" applyFont="1" applyBorder="1" applyAlignment="1" applyProtection="1">
      <alignment horizontal="center" vertical="center"/>
    </xf>
    <xf numFmtId="164" fontId="40" fillId="0" borderId="16" xfId="0" applyNumberFormat="1" applyFont="1" applyBorder="1" applyAlignment="1" applyProtection="1">
      <alignment horizontal="center" vertical="center"/>
    </xf>
    <xf numFmtId="164" fontId="40" fillId="0" borderId="15" xfId="0" applyNumberFormat="1" applyFont="1" applyBorder="1" applyAlignment="1" applyProtection="1">
      <alignment horizontal="center" vertical="center"/>
    </xf>
    <xf numFmtId="164" fontId="40" fillId="0" borderId="17" xfId="0" applyNumberFormat="1" applyFont="1" applyBorder="1" applyAlignment="1" applyProtection="1">
      <alignment horizontal="center" vertical="center"/>
    </xf>
    <xf numFmtId="164" fontId="40" fillId="0" borderId="18" xfId="0" applyNumberFormat="1" applyFont="1" applyBorder="1" applyAlignment="1" applyProtection="1">
      <alignment horizontal="center" vertical="center"/>
    </xf>
    <xf numFmtId="164" fontId="40" fillId="0" borderId="20" xfId="0" applyNumberFormat="1" applyFont="1" applyBorder="1" applyAlignment="1" applyProtection="1">
      <alignment horizontal="center" vertical="center"/>
    </xf>
    <xf numFmtId="164" fontId="40" fillId="0" borderId="19" xfId="0" applyNumberFormat="1" applyFont="1" applyBorder="1" applyAlignment="1" applyProtection="1">
      <alignment horizontal="center" vertical="center"/>
    </xf>
    <xf numFmtId="164" fontId="40" fillId="0" borderId="21" xfId="0" applyNumberFormat="1" applyFont="1" applyBorder="1" applyAlignment="1" applyProtection="1">
      <alignment horizontal="center" vertical="center"/>
    </xf>
    <xf numFmtId="164" fontId="40" fillId="0" borderId="22" xfId="0" applyNumberFormat="1" applyFont="1" applyBorder="1" applyAlignment="1" applyProtection="1">
      <alignment horizontal="center" vertical="center"/>
    </xf>
    <xf numFmtId="164" fontId="40" fillId="0" borderId="23" xfId="0" applyNumberFormat="1" applyFont="1" applyBorder="1" applyAlignment="1" applyProtection="1">
      <alignment horizontal="center" vertical="center"/>
    </xf>
    <xf numFmtId="164" fontId="40" fillId="0" borderId="24" xfId="0" applyNumberFormat="1" applyFont="1" applyBorder="1" applyAlignment="1" applyProtection="1">
      <alignment horizontal="center" vertical="center"/>
    </xf>
    <xf numFmtId="164" fontId="40" fillId="0" borderId="25" xfId="0" applyNumberFormat="1" applyFont="1" applyBorder="1" applyAlignment="1" applyProtection="1">
      <alignment horizontal="center" vertical="center"/>
    </xf>
    <xf numFmtId="164" fontId="40" fillId="0" borderId="27" xfId="0" applyNumberFormat="1" applyFont="1" applyBorder="1" applyAlignment="1" applyProtection="1">
      <alignment horizontal="center" vertical="center"/>
    </xf>
    <xf numFmtId="164" fontId="40" fillId="0" borderId="28" xfId="0" applyNumberFormat="1" applyFont="1" applyBorder="1" applyAlignment="1" applyProtection="1">
      <alignment horizontal="center" vertical="center"/>
    </xf>
    <xf numFmtId="164" fontId="40" fillId="0" borderId="29" xfId="0" applyNumberFormat="1" applyFont="1" applyBorder="1" applyAlignment="1" applyProtection="1">
      <alignment horizontal="center" vertical="center"/>
    </xf>
    <xf numFmtId="164" fontId="40" fillId="0" borderId="30" xfId="0" applyNumberFormat="1" applyFont="1" applyBorder="1" applyAlignment="1" applyProtection="1">
      <alignment horizontal="center" vertical="center"/>
    </xf>
    <xf numFmtId="164" fontId="40" fillId="0" borderId="3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41" fillId="0" borderId="0" xfId="0" applyFont="1" applyAlignment="1" applyProtection="1">
      <alignment shrinkToFit="1"/>
    </xf>
    <xf numFmtId="0" fontId="41" fillId="0" borderId="0" xfId="0" applyFont="1" applyProtection="1"/>
    <xf numFmtId="0" fontId="41" fillId="0" borderId="0" xfId="0" applyFont="1" applyAlignment="1" applyProtection="1">
      <alignment horizontal="right"/>
    </xf>
    <xf numFmtId="0" fontId="42" fillId="5" borderId="3" xfId="0" applyFont="1" applyFill="1" applyBorder="1" applyAlignment="1" applyProtection="1">
      <alignment horizontal="center" vertical="center" shrinkToFit="1"/>
    </xf>
    <xf numFmtId="0" fontId="41" fillId="7" borderId="3" xfId="0" applyFont="1" applyFill="1" applyBorder="1" applyAlignment="1" applyProtection="1">
      <alignment horizontal="center" vertical="center"/>
    </xf>
    <xf numFmtId="164" fontId="36" fillId="7" borderId="15" xfId="0" applyNumberFormat="1" applyFont="1" applyFill="1" applyBorder="1" applyAlignment="1" applyProtection="1">
      <alignment horizontal="center" vertical="center"/>
      <protection locked="0"/>
    </xf>
    <xf numFmtId="164" fontId="40" fillId="7" borderId="15" xfId="0" applyNumberFormat="1" applyFont="1" applyFill="1" applyBorder="1" applyAlignment="1" applyProtection="1">
      <alignment horizontal="center" vertical="center"/>
    </xf>
    <xf numFmtId="0" fontId="41" fillId="8" borderId="3" xfId="0" applyFont="1" applyFill="1" applyBorder="1" applyAlignment="1" applyProtection="1">
      <alignment horizontal="center" vertical="center"/>
    </xf>
    <xf numFmtId="164" fontId="36" fillId="8" borderId="15" xfId="0" applyNumberFormat="1" applyFont="1" applyFill="1" applyBorder="1" applyAlignment="1" applyProtection="1">
      <alignment horizontal="center" vertical="center"/>
      <protection locked="0"/>
    </xf>
    <xf numFmtId="164" fontId="40" fillId="8" borderId="15" xfId="0" applyNumberFormat="1" applyFont="1" applyFill="1" applyBorder="1" applyAlignment="1" applyProtection="1">
      <alignment horizontal="center" vertical="center"/>
    </xf>
    <xf numFmtId="0" fontId="39" fillId="0" borderId="26" xfId="0" applyFont="1" applyBorder="1" applyAlignment="1" applyProtection="1">
      <alignment vertical="center" textRotation="90"/>
    </xf>
    <xf numFmtId="14" fontId="25" fillId="0" borderId="0" xfId="0" applyNumberFormat="1" applyFont="1" applyAlignment="1" applyProtection="1"/>
    <xf numFmtId="14" fontId="25" fillId="0" borderId="0" xfId="0" applyNumberFormat="1" applyFont="1" applyAlignment="1" applyProtection="1">
      <alignment shrinkToFit="1"/>
    </xf>
    <xf numFmtId="0" fontId="41" fillId="0" borderId="3" xfId="0" applyFont="1" applyFill="1" applyBorder="1" applyAlignment="1" applyProtection="1">
      <alignment horizontal="center" vertical="center"/>
    </xf>
    <xf numFmtId="164" fontId="29" fillId="4" borderId="32" xfId="0" applyNumberFormat="1" applyFont="1" applyFill="1" applyBorder="1" applyAlignment="1" applyProtection="1">
      <alignment horizontal="left" vertical="center"/>
    </xf>
    <xf numFmtId="164" fontId="29" fillId="4" borderId="33" xfId="0" applyNumberFormat="1" applyFont="1" applyFill="1" applyBorder="1" applyAlignment="1" applyProtection="1">
      <alignment horizontal="left" vertical="center"/>
    </xf>
    <xf numFmtId="0" fontId="29" fillId="4" borderId="34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25" fillId="0" borderId="0" xfId="0" applyFont="1" applyFill="1" applyBorder="1" applyAlignment="1" applyProtection="1">
      <alignment horizontal="left"/>
    </xf>
    <xf numFmtId="0" fontId="39" fillId="0" borderId="0" xfId="0" applyFont="1" applyFill="1" applyBorder="1" applyAlignment="1" applyProtection="1">
      <alignment vertical="center" textRotation="90"/>
    </xf>
    <xf numFmtId="0" fontId="31" fillId="0" borderId="0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164" fontId="40" fillId="0" borderId="0" xfId="0" applyNumberFormat="1" applyFont="1" applyFill="1" applyBorder="1" applyAlignment="1" applyProtection="1">
      <alignment horizontal="center" vertical="center"/>
    </xf>
    <xf numFmtId="164" fontId="29" fillId="0" borderId="0" xfId="0" applyNumberFormat="1" applyFont="1" applyFill="1" applyBorder="1" applyAlignment="1" applyProtection="1">
      <alignment horizontal="left" vertical="center"/>
    </xf>
    <xf numFmtId="0" fontId="25" fillId="0" borderId="0" xfId="0" applyFont="1" applyFill="1" applyBorder="1" applyProtection="1"/>
    <xf numFmtId="0" fontId="29" fillId="0" borderId="0" xfId="0" applyFont="1" applyFill="1" applyBorder="1" applyAlignment="1" applyProtection="1">
      <alignment horizontal="left" vertical="center"/>
    </xf>
    <xf numFmtId="164" fontId="31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right"/>
    </xf>
    <xf numFmtId="14" fontId="47" fillId="9" borderId="0" xfId="0" applyNumberFormat="1" applyFont="1" applyFill="1" applyAlignment="1" applyProtection="1">
      <alignment shrinkToFit="1"/>
    </xf>
    <xf numFmtId="164" fontId="36" fillId="0" borderId="15" xfId="0" applyNumberFormat="1" applyFont="1" applyFill="1" applyBorder="1" applyAlignment="1" applyProtection="1">
      <alignment horizontal="center" vertical="center"/>
      <protection locked="0"/>
    </xf>
    <xf numFmtId="164" fontId="29" fillId="4" borderId="9" xfId="0" applyNumberFormat="1" applyFont="1" applyFill="1" applyBorder="1" applyAlignment="1" applyProtection="1">
      <alignment horizontal="left" vertical="center"/>
    </xf>
    <xf numFmtId="164" fontId="29" fillId="4" borderId="26" xfId="0" applyNumberFormat="1" applyFont="1" applyFill="1" applyBorder="1" applyAlignment="1" applyProtection="1">
      <alignment horizontal="left" vertical="center"/>
    </xf>
    <xf numFmtId="0" fontId="29" fillId="4" borderId="35" xfId="0" applyFont="1" applyFill="1" applyBorder="1" applyAlignment="1" applyProtection="1">
      <alignment horizontal="left" vertical="center"/>
    </xf>
    <xf numFmtId="164" fontId="36" fillId="0" borderId="17" xfId="0" applyNumberFormat="1" applyFont="1" applyFill="1" applyBorder="1" applyAlignment="1" applyProtection="1">
      <alignment horizontal="center" vertical="center"/>
      <protection locked="0"/>
    </xf>
    <xf numFmtId="164" fontId="36" fillId="0" borderId="23" xfId="0" applyNumberFormat="1" applyFont="1" applyFill="1" applyBorder="1" applyAlignment="1" applyProtection="1">
      <alignment horizontal="center" vertical="center"/>
      <protection locked="0"/>
    </xf>
    <xf numFmtId="164" fontId="36" fillId="0" borderId="25" xfId="0" applyNumberFormat="1" applyFont="1" applyFill="1" applyBorder="1" applyAlignment="1" applyProtection="1">
      <alignment horizontal="center" vertical="center"/>
      <protection locked="0"/>
    </xf>
    <xf numFmtId="164" fontId="36" fillId="0" borderId="14" xfId="0" applyNumberFormat="1" applyFont="1" applyFill="1" applyBorder="1" applyAlignment="1" applyProtection="1">
      <alignment horizontal="center" vertical="center"/>
      <protection locked="0"/>
    </xf>
    <xf numFmtId="164" fontId="36" fillId="0" borderId="2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41" fillId="0" borderId="0" xfId="0" applyFont="1" applyAlignment="1" applyProtection="1">
      <alignment horizontal="center"/>
    </xf>
    <xf numFmtId="14" fontId="25" fillId="0" borderId="0" xfId="0" applyNumberFormat="1" applyFont="1" applyAlignment="1" applyProtection="1">
      <alignment horizontal="center" shrinkToFit="1"/>
    </xf>
    <xf numFmtId="14" fontId="25" fillId="0" borderId="0" xfId="0" applyNumberFormat="1" applyFont="1" applyAlignment="1" applyProtection="1">
      <alignment horizontal="center"/>
    </xf>
    <xf numFmtId="0" fontId="48" fillId="0" borderId="0" xfId="0" applyFont="1" applyAlignment="1" applyProtection="1">
      <alignment horizontal="center"/>
    </xf>
    <xf numFmtId="0" fontId="49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top" shrinkToFit="1"/>
    </xf>
    <xf numFmtId="0" fontId="7" fillId="0" borderId="0" xfId="0" applyFont="1" applyAlignment="1" applyProtection="1">
      <alignment horizontal="center" vertical="top" shrinkToFit="1"/>
    </xf>
    <xf numFmtId="0" fontId="3" fillId="0" borderId="0" xfId="0" applyFont="1" applyAlignment="1" applyProtection="1">
      <alignment horizontal="center" vertical="center" shrinkToFit="1"/>
    </xf>
    <xf numFmtId="0" fontId="15" fillId="2" borderId="2" xfId="0" applyFont="1" applyFill="1" applyBorder="1" applyAlignment="1" applyProtection="1">
      <alignment horizontal="center" vertical="center" shrinkToFit="1"/>
    </xf>
    <xf numFmtId="0" fontId="15" fillId="2" borderId="5" xfId="0" applyFont="1" applyFill="1" applyBorder="1" applyAlignment="1" applyProtection="1">
      <alignment horizontal="center" vertical="center" shrinkToFit="1"/>
    </xf>
    <xf numFmtId="0" fontId="15" fillId="2" borderId="6" xfId="0" applyFont="1" applyFill="1" applyBorder="1" applyAlignment="1" applyProtection="1">
      <alignment horizontal="center" vertical="center" shrinkToFit="1"/>
    </xf>
    <xf numFmtId="0" fontId="16" fillId="3" borderId="3" xfId="0" applyFont="1" applyFill="1" applyBorder="1" applyAlignment="1" applyProtection="1">
      <alignment horizontal="center" vertical="center" shrinkToFit="1"/>
      <protection locked="0"/>
    </xf>
    <xf numFmtId="14" fontId="24" fillId="3" borderId="2" xfId="0" applyNumberFormat="1" applyFont="1" applyFill="1" applyBorder="1" applyAlignment="1" applyProtection="1">
      <alignment horizontal="center" vertical="center" shrinkToFit="1"/>
      <protection locked="0"/>
    </xf>
    <xf numFmtId="14" fontId="24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5" xfId="0" applyFont="1" applyFill="1" applyBorder="1" applyAlignment="1" applyProtection="1">
      <alignment horizontal="center"/>
    </xf>
    <xf numFmtId="0" fontId="17" fillId="2" borderId="6" xfId="0" applyFont="1" applyFill="1" applyBorder="1" applyAlignment="1" applyProtection="1">
      <alignment horizontal="center"/>
    </xf>
    <xf numFmtId="0" fontId="41" fillId="5" borderId="2" xfId="0" applyFont="1" applyFill="1" applyBorder="1" applyAlignment="1" applyProtection="1">
      <alignment horizontal="center"/>
    </xf>
    <xf numFmtId="0" fontId="41" fillId="5" borderId="6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17" fontId="31" fillId="5" borderId="7" xfId="0" applyNumberFormat="1" applyFont="1" applyFill="1" applyBorder="1" applyAlignment="1" applyProtection="1">
      <alignment horizontal="center" vertical="center"/>
    </xf>
    <xf numFmtId="0" fontId="31" fillId="5" borderId="8" xfId="0" applyFont="1" applyFill="1" applyBorder="1" applyAlignment="1" applyProtection="1">
      <alignment horizontal="center" vertical="center"/>
    </xf>
    <xf numFmtId="0" fontId="31" fillId="5" borderId="9" xfId="0" applyFont="1" applyFill="1" applyBorder="1" applyAlignment="1" applyProtection="1">
      <alignment horizontal="center" vertical="center"/>
    </xf>
    <xf numFmtId="0" fontId="46" fillId="5" borderId="32" xfId="0" applyFont="1" applyFill="1" applyBorder="1" applyAlignment="1" applyProtection="1">
      <alignment horizontal="center" vertical="center"/>
    </xf>
    <xf numFmtId="0" fontId="46" fillId="5" borderId="33" xfId="0" applyFont="1" applyFill="1" applyBorder="1" applyAlignment="1" applyProtection="1">
      <alignment horizontal="center" vertical="center"/>
    </xf>
    <xf numFmtId="0" fontId="46" fillId="5" borderId="34" xfId="0" applyFont="1" applyFill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/>
    </xf>
    <xf numFmtId="17" fontId="31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center" vertical="center"/>
    </xf>
    <xf numFmtId="14" fontId="45" fillId="0" borderId="0" xfId="0" applyNumberFormat="1" applyFont="1" applyFill="1" applyBorder="1" applyAlignment="1" applyProtection="1">
      <alignment horizontal="center"/>
      <protection locked="0"/>
    </xf>
    <xf numFmtId="1" fontId="44" fillId="5" borderId="2" xfId="0" applyNumberFormat="1" applyFont="1" applyFill="1" applyBorder="1" applyAlignment="1" applyProtection="1">
      <alignment horizontal="center"/>
    </xf>
    <xf numFmtId="1" fontId="44" fillId="5" borderId="6" xfId="0" applyNumberFormat="1" applyFont="1" applyFill="1" applyBorder="1" applyAlignment="1" applyProtection="1">
      <alignment horizontal="center"/>
    </xf>
    <xf numFmtId="14" fontId="43" fillId="3" borderId="2" xfId="0" applyNumberFormat="1" applyFont="1" applyFill="1" applyBorder="1" applyAlignment="1" applyProtection="1">
      <alignment horizontal="center"/>
      <protection locked="0"/>
    </xf>
    <xf numFmtId="14" fontId="43" fillId="3" borderId="5" xfId="0" applyNumberFormat="1" applyFont="1" applyFill="1" applyBorder="1" applyAlignment="1" applyProtection="1">
      <alignment horizontal="center"/>
      <protection locked="0"/>
    </xf>
    <xf numFmtId="14" fontId="43" fillId="3" borderId="6" xfId="0" applyNumberFormat="1" applyFont="1" applyFill="1" applyBorder="1" applyAlignment="1" applyProtection="1">
      <alignment horizontal="center"/>
      <protection locked="0"/>
    </xf>
    <xf numFmtId="14" fontId="45" fillId="0" borderId="2" xfId="0" applyNumberFormat="1" applyFont="1" applyFill="1" applyBorder="1" applyAlignment="1" applyProtection="1">
      <alignment horizontal="center"/>
      <protection locked="0"/>
    </xf>
    <xf numFmtId="14" fontId="45" fillId="0" borderId="5" xfId="0" applyNumberFormat="1" applyFont="1" applyFill="1" applyBorder="1" applyAlignment="1" applyProtection="1">
      <alignment horizontal="center"/>
      <protection locked="0"/>
    </xf>
    <xf numFmtId="14" fontId="45" fillId="0" borderId="6" xfId="0" applyNumberFormat="1" applyFont="1" applyFill="1" applyBorder="1" applyAlignment="1" applyProtection="1">
      <alignment horizontal="center"/>
      <protection locked="0"/>
    </xf>
    <xf numFmtId="0" fontId="46" fillId="5" borderId="9" xfId="0" applyFont="1" applyFill="1" applyBorder="1" applyAlignment="1" applyProtection="1">
      <alignment horizontal="center" vertical="center"/>
    </xf>
    <xf numFmtId="0" fontId="46" fillId="5" borderId="26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65</xdr:row>
      <xdr:rowOff>0</xdr:rowOff>
    </xdr:from>
    <xdr:to>
      <xdr:col>23</xdr:col>
      <xdr:colOff>46264</xdr:colOff>
      <xdr:row>74</xdr:row>
      <xdr:rowOff>156482</xdr:rowOff>
    </xdr:to>
    <xdr:pic>
      <xdr:nvPicPr>
        <xdr:cNvPr id="2" name="Image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2200" y="14439900"/>
          <a:ext cx="3703864" cy="1785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35</xdr:col>
      <xdr:colOff>725259</xdr:colOff>
      <xdr:row>46</xdr:row>
      <xdr:rowOff>160565</xdr:rowOff>
    </xdr:from>
    <xdr:to>
      <xdr:col>37</xdr:col>
      <xdr:colOff>13606</xdr:colOff>
      <xdr:row>52</xdr:row>
      <xdr:rowOff>16329</xdr:rowOff>
    </xdr:to>
    <xdr:pic>
      <xdr:nvPicPr>
        <xdr:cNvPr id="3" name="Image 4" descr="Sens interdit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25188" y="11127922"/>
          <a:ext cx="1016454" cy="1080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4</xdr:row>
      <xdr:rowOff>0</xdr:rowOff>
    </xdr:from>
    <xdr:to>
      <xdr:col>32</xdr:col>
      <xdr:colOff>85725</xdr:colOff>
      <xdr:row>11</xdr:row>
      <xdr:rowOff>38100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30200" y="1228725"/>
          <a:ext cx="61817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34</xdr:col>
      <xdr:colOff>27215</xdr:colOff>
      <xdr:row>0</xdr:row>
      <xdr:rowOff>0</xdr:rowOff>
    </xdr:from>
    <xdr:to>
      <xdr:col>42</xdr:col>
      <xdr:colOff>400396</xdr:colOff>
      <xdr:row>11</xdr:row>
      <xdr:rowOff>222289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372615" y="0"/>
          <a:ext cx="6726356" cy="2889289"/>
        </a:xfrm>
        <a:prstGeom prst="rect">
          <a:avLst/>
        </a:prstGeom>
      </xdr:spPr>
    </xdr:pic>
    <xdr:clientData/>
  </xdr:twoCellAnchor>
  <xdr:twoCellAnchor editAs="oneCell">
    <xdr:from>
      <xdr:col>44</xdr:col>
      <xdr:colOff>231320</xdr:colOff>
      <xdr:row>0</xdr:row>
      <xdr:rowOff>0</xdr:rowOff>
    </xdr:from>
    <xdr:to>
      <xdr:col>55</xdr:col>
      <xdr:colOff>156391</xdr:colOff>
      <xdr:row>17</xdr:row>
      <xdr:rowOff>221703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453895" y="0"/>
          <a:ext cx="8307071" cy="4365078"/>
        </a:xfrm>
        <a:prstGeom prst="rect">
          <a:avLst/>
        </a:prstGeom>
      </xdr:spPr>
    </xdr:pic>
    <xdr:clientData/>
  </xdr:twoCellAnchor>
  <xdr:twoCellAnchor editAs="oneCell">
    <xdr:from>
      <xdr:col>49</xdr:col>
      <xdr:colOff>0</xdr:colOff>
      <xdr:row>20</xdr:row>
      <xdr:rowOff>0</xdr:rowOff>
    </xdr:from>
    <xdr:to>
      <xdr:col>57</xdr:col>
      <xdr:colOff>476250</xdr:colOff>
      <xdr:row>36</xdr:row>
      <xdr:rowOff>20411</xdr:rowOff>
    </xdr:to>
    <xdr:pic>
      <xdr:nvPicPr>
        <xdr:cNvPr id="7" name="Image 6" descr="Eclaté OVF 2v ALU (angles)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032575" y="4857750"/>
          <a:ext cx="6572250" cy="3607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412296</xdr:colOff>
      <xdr:row>12</xdr:row>
      <xdr:rowOff>201387</xdr:rowOff>
    </xdr:from>
    <xdr:to>
      <xdr:col>43</xdr:col>
      <xdr:colOff>666750</xdr:colOff>
      <xdr:row>17</xdr:row>
      <xdr:rowOff>57151</xdr:rowOff>
    </xdr:to>
    <xdr:pic>
      <xdr:nvPicPr>
        <xdr:cNvPr id="5155" name="Image 4" descr="Sens interdi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6582" y="3154137"/>
          <a:ext cx="1016454" cy="1080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4</xdr:row>
      <xdr:rowOff>0</xdr:rowOff>
    </xdr:from>
    <xdr:to>
      <xdr:col>32</xdr:col>
      <xdr:colOff>85725</xdr:colOff>
      <xdr:row>11</xdr:row>
      <xdr:rowOff>38100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72450" y="1323975"/>
          <a:ext cx="38004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34</xdr:col>
      <xdr:colOff>27215</xdr:colOff>
      <xdr:row>0</xdr:row>
      <xdr:rowOff>0</xdr:rowOff>
    </xdr:from>
    <xdr:to>
      <xdr:col>42</xdr:col>
      <xdr:colOff>400396</xdr:colOff>
      <xdr:row>11</xdr:row>
      <xdr:rowOff>222289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770929" y="0"/>
          <a:ext cx="6727716" cy="2902896"/>
        </a:xfrm>
        <a:prstGeom prst="rect">
          <a:avLst/>
        </a:prstGeom>
      </xdr:spPr>
    </xdr:pic>
    <xdr:clientData/>
  </xdr:twoCellAnchor>
  <xdr:twoCellAnchor editAs="oneCell">
    <xdr:from>
      <xdr:col>44</xdr:col>
      <xdr:colOff>231320</xdr:colOff>
      <xdr:row>0</xdr:row>
      <xdr:rowOff>0</xdr:rowOff>
    </xdr:from>
    <xdr:to>
      <xdr:col>55</xdr:col>
      <xdr:colOff>156391</xdr:colOff>
      <xdr:row>17</xdr:row>
      <xdr:rowOff>221703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570" y="0"/>
          <a:ext cx="8307071" cy="4399096"/>
        </a:xfrm>
        <a:prstGeom prst="rect">
          <a:avLst/>
        </a:prstGeom>
      </xdr:spPr>
    </xdr:pic>
    <xdr:clientData/>
  </xdr:twoCellAnchor>
  <xdr:twoCellAnchor editAs="oneCell">
    <xdr:from>
      <xdr:col>49</xdr:col>
      <xdr:colOff>0</xdr:colOff>
      <xdr:row>20</xdr:row>
      <xdr:rowOff>0</xdr:rowOff>
    </xdr:from>
    <xdr:to>
      <xdr:col>57</xdr:col>
      <xdr:colOff>476250</xdr:colOff>
      <xdr:row>36</xdr:row>
      <xdr:rowOff>6804</xdr:rowOff>
    </xdr:to>
    <xdr:pic>
      <xdr:nvPicPr>
        <xdr:cNvPr id="9" name="Image 8" descr="Eclaté OVF 2v ALU (angles)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126464" y="4912179"/>
          <a:ext cx="6572250" cy="366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8"/>
  <sheetViews>
    <sheetView showGridLines="0" tabSelected="1" topLeftCell="U1" zoomScale="50" zoomScaleNormal="50" workbookViewId="0">
      <selection activeCell="F18" sqref="F18"/>
    </sheetView>
  </sheetViews>
  <sheetFormatPr baseColWidth="10" defaultRowHeight="14.25" x14ac:dyDescent="0.25"/>
  <cols>
    <col min="1" max="1" width="6.85546875" style="2" customWidth="1"/>
    <col min="2" max="2" width="10.42578125" style="2" customWidth="1"/>
    <col min="3" max="3" width="5" style="2" customWidth="1"/>
    <col min="4" max="4" width="8.5703125" style="2" customWidth="1"/>
    <col min="5" max="34" width="9.140625" style="2" customWidth="1"/>
    <col min="35" max="36" width="11.42578125" style="2"/>
    <col min="37" max="37" width="14.42578125" style="2" customWidth="1"/>
    <col min="38" max="38" width="12.28515625" style="2" customWidth="1"/>
    <col min="39" max="16384" width="11.42578125" style="2"/>
  </cols>
  <sheetData>
    <row r="1" spans="1:51" s="3" customFormat="1" ht="21" customHeight="1" x14ac:dyDescent="0.25">
      <c r="B1" s="136" t="s">
        <v>23</v>
      </c>
      <c r="C1" s="136"/>
      <c r="D1" s="136"/>
      <c r="E1" s="136"/>
      <c r="F1" s="136"/>
      <c r="G1" s="136"/>
      <c r="H1" s="137" t="s">
        <v>18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24"/>
      <c r="AB1" s="14"/>
      <c r="AC1" s="138"/>
      <c r="AD1" s="138"/>
    </row>
    <row r="2" spans="1:51" s="3" customFormat="1" ht="44.25" x14ac:dyDescent="0.35">
      <c r="A2" s="1">
        <v>1.1100000000000001</v>
      </c>
      <c r="B2" s="1"/>
      <c r="C2" s="139" t="s">
        <v>0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1"/>
      <c r="T2" s="142"/>
      <c r="U2" s="142"/>
      <c r="V2" s="142"/>
      <c r="W2" s="142"/>
      <c r="X2" s="142"/>
      <c r="Y2" s="142"/>
      <c r="Z2" s="143" t="s">
        <v>14</v>
      </c>
      <c r="AA2" s="144"/>
      <c r="AB2" s="15"/>
      <c r="AC2" s="145" t="s">
        <v>15</v>
      </c>
      <c r="AD2" s="146"/>
      <c r="AE2" s="16" t="s">
        <v>16</v>
      </c>
    </row>
    <row r="3" spans="1:51" s="3" customFormat="1" ht="18.75" customHeight="1" x14ac:dyDescent="0.25">
      <c r="B3" s="4"/>
      <c r="C3" s="5"/>
      <c r="D3" s="17" t="s">
        <v>1</v>
      </c>
      <c r="E3" s="6" t="s">
        <v>0</v>
      </c>
      <c r="F3" s="6" t="s">
        <v>2</v>
      </c>
      <c r="G3" s="6"/>
      <c r="H3" s="6"/>
      <c r="I3" s="6"/>
      <c r="J3" s="7" t="s">
        <v>6</v>
      </c>
      <c r="K3" s="6" t="s">
        <v>7</v>
      </c>
      <c r="L3" s="6" t="s">
        <v>8</v>
      </c>
      <c r="M3" s="7" t="s">
        <v>9</v>
      </c>
      <c r="N3" s="6" t="s">
        <v>10</v>
      </c>
      <c r="O3" s="6" t="s">
        <v>11</v>
      </c>
      <c r="P3" s="6" t="s">
        <v>12</v>
      </c>
      <c r="Q3" s="6"/>
      <c r="R3" s="6"/>
      <c r="S3" s="6" t="s">
        <v>3</v>
      </c>
      <c r="T3" s="6" t="s">
        <v>4</v>
      </c>
      <c r="U3" s="6"/>
      <c r="V3" s="6"/>
      <c r="X3" s="18" t="s">
        <v>75</v>
      </c>
      <c r="Y3" s="18"/>
      <c r="AB3" s="19" t="s">
        <v>22</v>
      </c>
    </row>
    <row r="4" spans="1:51" s="3" customFormat="1" ht="12.75" customHeight="1" x14ac:dyDescent="0.25">
      <c r="B4" s="7" t="s">
        <v>17</v>
      </c>
      <c r="C4" s="7" t="s">
        <v>18</v>
      </c>
      <c r="D4" s="7" t="s">
        <v>19</v>
      </c>
      <c r="E4" s="20" t="s">
        <v>20</v>
      </c>
      <c r="F4" s="21"/>
      <c r="G4" s="8"/>
      <c r="H4" s="8"/>
      <c r="I4" s="8"/>
      <c r="J4" s="8"/>
      <c r="AB4" s="22"/>
      <c r="AE4" s="12"/>
      <c r="AF4" s="23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51" s="3" customFormat="1" ht="23.25" customHeight="1" x14ac:dyDescent="0.25">
      <c r="B5" s="149" t="s">
        <v>5</v>
      </c>
      <c r="C5" s="149"/>
      <c r="D5" s="149"/>
      <c r="E5" s="9"/>
      <c r="F5" s="9" t="s">
        <v>24</v>
      </c>
      <c r="G5" s="9"/>
      <c r="I5" s="10"/>
      <c r="J5" s="8"/>
      <c r="R5" s="6"/>
      <c r="T5" s="25"/>
      <c r="V5" s="25"/>
      <c r="W5" s="25"/>
      <c r="X5" s="6"/>
      <c r="Y5" s="6"/>
      <c r="Z5" s="26"/>
      <c r="AA5" s="26"/>
      <c r="AB5" s="27"/>
      <c r="AC5" s="6"/>
      <c r="AD5" s="28"/>
      <c r="AE5" s="11"/>
      <c r="AF5" s="11"/>
      <c r="AG5" s="11"/>
      <c r="AH5" s="11"/>
      <c r="AI5" s="30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1" ht="1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30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ht="15" x14ac:dyDescent="0.25">
      <c r="A7" s="11"/>
      <c r="B7" s="11"/>
      <c r="C7" s="11"/>
      <c r="D7" s="11"/>
      <c r="E7" s="11"/>
      <c r="F7" s="11" t="s">
        <v>25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30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ht="15" x14ac:dyDescent="0.25">
      <c r="A8" s="11"/>
      <c r="B8" s="11"/>
      <c r="C8" s="11"/>
      <c r="D8" s="11"/>
      <c r="E8" s="11"/>
      <c r="F8" s="11" t="s">
        <v>26</v>
      </c>
      <c r="G8" s="150">
        <f>ROUNDUP(1788*$A$2,0)</f>
        <v>1985</v>
      </c>
      <c r="H8" s="15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30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ht="15" x14ac:dyDescent="0.25">
      <c r="A9" s="11"/>
      <c r="B9" s="11"/>
      <c r="C9" s="11"/>
      <c r="D9" s="11"/>
      <c r="E9" s="11"/>
      <c r="F9" s="11" t="s">
        <v>27</v>
      </c>
      <c r="G9" s="150">
        <f>ROUNDUP(1988*$A$2,0)</f>
        <v>2207</v>
      </c>
      <c r="H9" s="15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30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51" ht="1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30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ht="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30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1" ht="21.75" thickBot="1" x14ac:dyDescent="0.35">
      <c r="A12" s="31"/>
      <c r="B12" s="31"/>
      <c r="C12" s="31"/>
      <c r="D12" s="32"/>
      <c r="E12" s="33" t="s">
        <v>28</v>
      </c>
      <c r="F12" s="34"/>
      <c r="G12" s="34"/>
      <c r="H12" s="34"/>
      <c r="I12" s="34"/>
      <c r="J12" s="34"/>
      <c r="K12" s="135" t="s">
        <v>76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5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</row>
    <row r="13" spans="1:51" ht="18.75" x14ac:dyDescent="0.3">
      <c r="A13" s="31"/>
      <c r="B13" s="31"/>
      <c r="C13" s="31"/>
      <c r="D13" s="32"/>
      <c r="E13" s="151">
        <v>41883</v>
      </c>
      <c r="F13" s="152"/>
      <c r="G13" s="152"/>
      <c r="H13" s="152"/>
      <c r="I13" s="152"/>
      <c r="J13" s="151">
        <f>E13</f>
        <v>41883</v>
      </c>
      <c r="K13" s="152"/>
      <c r="L13" s="152"/>
      <c r="M13" s="152"/>
      <c r="N13" s="153"/>
      <c r="O13" s="151">
        <f>J13</f>
        <v>41883</v>
      </c>
      <c r="P13" s="152"/>
      <c r="Q13" s="152"/>
      <c r="R13" s="152"/>
      <c r="S13" s="153"/>
      <c r="T13" s="151">
        <f>O13</f>
        <v>41883</v>
      </c>
      <c r="U13" s="152"/>
      <c r="V13" s="152"/>
      <c r="W13" s="152"/>
      <c r="X13" s="153"/>
      <c r="Y13" s="151">
        <f>T13</f>
        <v>41883</v>
      </c>
      <c r="Z13" s="152"/>
      <c r="AA13" s="152"/>
      <c r="AB13" s="152"/>
      <c r="AC13" s="153"/>
      <c r="AD13" s="151">
        <f>Y13</f>
        <v>41883</v>
      </c>
      <c r="AE13" s="152"/>
      <c r="AF13" s="152"/>
      <c r="AG13" s="152"/>
      <c r="AH13" s="153"/>
      <c r="AI13" s="154" t="s">
        <v>69</v>
      </c>
      <c r="AJ13" s="11"/>
      <c r="AK13" s="36" t="s">
        <v>29</v>
      </c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</row>
    <row r="14" spans="1:51" ht="18.75" x14ac:dyDescent="0.3">
      <c r="A14" s="31"/>
      <c r="B14" s="31"/>
      <c r="C14" s="31"/>
      <c r="D14" s="32"/>
      <c r="E14" s="37" t="s">
        <v>30</v>
      </c>
      <c r="F14" s="38" t="s">
        <v>31</v>
      </c>
      <c r="G14" s="38" t="s">
        <v>31</v>
      </c>
      <c r="H14" s="38" t="s">
        <v>32</v>
      </c>
      <c r="I14" s="39" t="s">
        <v>33</v>
      </c>
      <c r="J14" s="37" t="s">
        <v>30</v>
      </c>
      <c r="K14" s="38" t="s">
        <v>31</v>
      </c>
      <c r="L14" s="38" t="s">
        <v>31</v>
      </c>
      <c r="M14" s="38" t="s">
        <v>32</v>
      </c>
      <c r="N14" s="40" t="s">
        <v>33</v>
      </c>
      <c r="O14" s="37" t="s">
        <v>30</v>
      </c>
      <c r="P14" s="38" t="s">
        <v>31</v>
      </c>
      <c r="Q14" s="38" t="s">
        <v>31</v>
      </c>
      <c r="R14" s="38" t="s">
        <v>32</v>
      </c>
      <c r="S14" s="40" t="s">
        <v>33</v>
      </c>
      <c r="T14" s="37" t="s">
        <v>30</v>
      </c>
      <c r="U14" s="38" t="s">
        <v>31</v>
      </c>
      <c r="V14" s="38" t="s">
        <v>31</v>
      </c>
      <c r="W14" s="38" t="s">
        <v>32</v>
      </c>
      <c r="X14" s="40" t="s">
        <v>33</v>
      </c>
      <c r="Y14" s="37" t="s">
        <v>30</v>
      </c>
      <c r="Z14" s="38" t="s">
        <v>31</v>
      </c>
      <c r="AA14" s="38" t="s">
        <v>31</v>
      </c>
      <c r="AB14" s="38" t="s">
        <v>32</v>
      </c>
      <c r="AC14" s="40" t="s">
        <v>33</v>
      </c>
      <c r="AD14" s="37" t="s">
        <v>30</v>
      </c>
      <c r="AE14" s="38" t="s">
        <v>31</v>
      </c>
      <c r="AF14" s="38" t="s">
        <v>31</v>
      </c>
      <c r="AG14" s="38" t="s">
        <v>32</v>
      </c>
      <c r="AH14" s="40" t="s">
        <v>33</v>
      </c>
      <c r="AI14" s="155"/>
      <c r="AJ14" s="11"/>
      <c r="AK14" s="36" t="s">
        <v>78</v>
      </c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  <row r="15" spans="1:51" ht="18.75" x14ac:dyDescent="0.3">
      <c r="A15" s="31"/>
      <c r="B15" s="31"/>
      <c r="C15" s="31"/>
      <c r="D15" s="41"/>
      <c r="E15" s="42">
        <v>1</v>
      </c>
      <c r="F15" s="43">
        <v>2</v>
      </c>
      <c r="G15" s="43">
        <v>3</v>
      </c>
      <c r="H15" s="43">
        <v>4</v>
      </c>
      <c r="I15" s="44">
        <v>5</v>
      </c>
      <c r="J15" s="42">
        <v>6</v>
      </c>
      <c r="K15" s="43">
        <v>7</v>
      </c>
      <c r="L15" s="43">
        <v>8</v>
      </c>
      <c r="M15" s="43">
        <v>9</v>
      </c>
      <c r="N15" s="45">
        <v>10</v>
      </c>
      <c r="O15" s="42">
        <v>11</v>
      </c>
      <c r="P15" s="43">
        <v>12</v>
      </c>
      <c r="Q15" s="43">
        <v>13</v>
      </c>
      <c r="R15" s="43">
        <v>14</v>
      </c>
      <c r="S15" s="45">
        <v>15</v>
      </c>
      <c r="T15" s="42">
        <v>16</v>
      </c>
      <c r="U15" s="43">
        <v>17</v>
      </c>
      <c r="V15" s="43">
        <v>18</v>
      </c>
      <c r="W15" s="43">
        <v>19</v>
      </c>
      <c r="X15" s="45">
        <v>20</v>
      </c>
      <c r="Y15" s="42">
        <v>21</v>
      </c>
      <c r="Z15" s="43">
        <v>22</v>
      </c>
      <c r="AA15" s="43">
        <v>23</v>
      </c>
      <c r="AB15" s="43">
        <v>24</v>
      </c>
      <c r="AC15" s="45">
        <v>25</v>
      </c>
      <c r="AD15" s="42">
        <v>26</v>
      </c>
      <c r="AE15" s="43">
        <v>27</v>
      </c>
      <c r="AF15" s="43">
        <v>28</v>
      </c>
      <c r="AG15" s="43">
        <v>29</v>
      </c>
      <c r="AH15" s="45">
        <v>30</v>
      </c>
      <c r="AI15" s="155"/>
      <c r="AJ15" s="11"/>
      <c r="AK15" s="36" t="s">
        <v>53</v>
      </c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51" ht="19.5" thickBot="1" x14ac:dyDescent="0.35">
      <c r="A16" s="31"/>
      <c r="B16" s="31"/>
      <c r="C16" s="31"/>
      <c r="D16" s="32"/>
      <c r="E16" s="46"/>
      <c r="F16" s="47"/>
      <c r="G16" s="47"/>
      <c r="H16" s="47"/>
      <c r="I16" s="48"/>
      <c r="J16" s="46"/>
      <c r="K16" s="47"/>
      <c r="L16" s="47"/>
      <c r="M16" s="47"/>
      <c r="N16" s="48"/>
      <c r="O16" s="46"/>
      <c r="P16" s="47"/>
      <c r="Q16" s="47"/>
      <c r="R16" s="47"/>
      <c r="S16" s="48"/>
      <c r="T16" s="46"/>
      <c r="U16" s="47"/>
      <c r="V16" s="47"/>
      <c r="W16" s="47"/>
      <c r="X16" s="48"/>
      <c r="Y16" s="46"/>
      <c r="Z16" s="47"/>
      <c r="AA16" s="47"/>
      <c r="AB16" s="47"/>
      <c r="AC16" s="48"/>
      <c r="AD16" s="46"/>
      <c r="AE16" s="47"/>
      <c r="AF16" s="47"/>
      <c r="AG16" s="47"/>
      <c r="AH16" s="48"/>
      <c r="AI16" s="156"/>
      <c r="AJ16" s="11"/>
      <c r="AK16" s="36" t="s">
        <v>34</v>
      </c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</row>
    <row r="17" spans="1:51" ht="18.75" x14ac:dyDescent="0.3">
      <c r="A17" s="31"/>
      <c r="B17" s="31"/>
      <c r="C17" s="31"/>
      <c r="D17" s="49" t="s">
        <v>35</v>
      </c>
      <c r="E17" s="50"/>
      <c r="F17" s="95">
        <v>3.6</v>
      </c>
      <c r="G17" s="51"/>
      <c r="H17" s="51"/>
      <c r="I17" s="52"/>
      <c r="J17" s="50"/>
      <c r="K17" s="51"/>
      <c r="L17" s="51"/>
      <c r="M17" s="51"/>
      <c r="N17" s="52"/>
      <c r="O17" s="50"/>
      <c r="P17" s="51"/>
      <c r="Q17" s="51"/>
      <c r="R17" s="51"/>
      <c r="S17" s="52"/>
      <c r="T17" s="50"/>
      <c r="U17" s="51"/>
      <c r="V17" s="51"/>
      <c r="W17" s="51"/>
      <c r="X17" s="53"/>
      <c r="Y17" s="50"/>
      <c r="Z17" s="51"/>
      <c r="AA17" s="51"/>
      <c r="AB17" s="51"/>
      <c r="AC17" s="53"/>
      <c r="AD17" s="50"/>
      <c r="AE17" s="51"/>
      <c r="AF17" s="51"/>
      <c r="AG17" s="51"/>
      <c r="AH17" s="53"/>
      <c r="AI17" s="104">
        <f>(SUM(E17:AH17))/6*60</f>
        <v>36</v>
      </c>
      <c r="AJ17" s="11"/>
      <c r="AK17" s="54" t="s">
        <v>71</v>
      </c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</row>
    <row r="18" spans="1:51" ht="18.75" x14ac:dyDescent="0.3">
      <c r="A18" s="31"/>
      <c r="B18" s="31"/>
      <c r="C18" s="31"/>
      <c r="D18" s="49" t="s">
        <v>36</v>
      </c>
      <c r="E18" s="50"/>
      <c r="F18" s="98"/>
      <c r="G18" s="98"/>
      <c r="H18" s="98"/>
      <c r="I18" s="52"/>
      <c r="J18" s="50"/>
      <c r="K18" s="51"/>
      <c r="L18" s="51"/>
      <c r="M18" s="51"/>
      <c r="N18" s="53"/>
      <c r="O18" s="50"/>
      <c r="P18" s="51"/>
      <c r="Q18" s="51"/>
      <c r="R18" s="51"/>
      <c r="S18" s="52"/>
      <c r="T18" s="50"/>
      <c r="U18" s="51"/>
      <c r="V18" s="51"/>
      <c r="W18" s="51"/>
      <c r="X18" s="52"/>
      <c r="Y18" s="50"/>
      <c r="Z18" s="51"/>
      <c r="AA18" s="51"/>
      <c r="AB18" s="51"/>
      <c r="AC18" s="53"/>
      <c r="AD18" s="50"/>
      <c r="AE18" s="51"/>
      <c r="AF18" s="51"/>
      <c r="AG18" s="51"/>
      <c r="AH18" s="53"/>
      <c r="AI18" s="105">
        <f>(SUM(E18:AH18))/8*60</f>
        <v>0</v>
      </c>
      <c r="AJ18" s="11"/>
      <c r="AK18" s="36" t="s">
        <v>37</v>
      </c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</row>
    <row r="19" spans="1:51" ht="18.75" x14ac:dyDescent="0.3">
      <c r="A19" s="31"/>
      <c r="B19" s="31"/>
      <c r="C19" s="31"/>
      <c r="D19" s="49" t="s">
        <v>70</v>
      </c>
      <c r="E19" s="55"/>
      <c r="F19" s="56"/>
      <c r="G19" s="56"/>
      <c r="H19" s="56"/>
      <c r="I19" s="57"/>
      <c r="J19" s="55"/>
      <c r="K19" s="56"/>
      <c r="L19" s="56"/>
      <c r="M19" s="56"/>
      <c r="N19" s="58"/>
      <c r="O19" s="55"/>
      <c r="P19" s="56"/>
      <c r="Q19" s="56"/>
      <c r="R19" s="56"/>
      <c r="S19" s="57"/>
      <c r="T19" s="55"/>
      <c r="U19" s="56"/>
      <c r="V19" s="56"/>
      <c r="W19" s="56"/>
      <c r="X19" s="57"/>
      <c r="Y19" s="55"/>
      <c r="Z19" s="56"/>
      <c r="AA19" s="56"/>
      <c r="AB19" s="56"/>
      <c r="AC19" s="57"/>
      <c r="AD19" s="55"/>
      <c r="AE19" s="56"/>
      <c r="AF19" s="56"/>
      <c r="AG19" s="56"/>
      <c r="AH19" s="58"/>
      <c r="AI19" s="105">
        <f>(SUM(E19:AH19))/8*60</f>
        <v>0</v>
      </c>
      <c r="AJ19" s="11"/>
      <c r="AK19" s="54" t="s">
        <v>38</v>
      </c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</row>
    <row r="20" spans="1:51" ht="18.75" x14ac:dyDescent="0.3">
      <c r="A20" s="31"/>
      <c r="B20" s="31"/>
      <c r="C20" s="31"/>
      <c r="D20" s="49" t="s">
        <v>39</v>
      </c>
      <c r="E20" s="55"/>
      <c r="F20" s="56"/>
      <c r="G20" s="56"/>
      <c r="H20" s="56"/>
      <c r="I20" s="57"/>
      <c r="J20" s="55"/>
      <c r="K20" s="56"/>
      <c r="L20" s="56"/>
      <c r="M20" s="56"/>
      <c r="N20" s="58"/>
      <c r="O20" s="55"/>
      <c r="P20" s="56"/>
      <c r="Q20" s="56"/>
      <c r="R20" s="56"/>
      <c r="S20" s="57"/>
      <c r="T20" s="55"/>
      <c r="U20" s="56"/>
      <c r="V20" s="56"/>
      <c r="W20" s="56"/>
      <c r="X20" s="57"/>
      <c r="Y20" s="55"/>
      <c r="Z20" s="56"/>
      <c r="AA20" s="56"/>
      <c r="AB20" s="56"/>
      <c r="AC20" s="57"/>
      <c r="AD20" s="55"/>
      <c r="AE20" s="56"/>
      <c r="AF20" s="56"/>
      <c r="AG20" s="56"/>
      <c r="AH20" s="58"/>
      <c r="AI20" s="105">
        <f>(SUM(E20:AH20))/7*60</f>
        <v>0</v>
      </c>
      <c r="AJ20" s="11"/>
      <c r="AK20" s="54" t="s">
        <v>73</v>
      </c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 t="s">
        <v>72</v>
      </c>
      <c r="AY20" s="11"/>
    </row>
    <row r="21" spans="1:51" ht="18.75" x14ac:dyDescent="0.3">
      <c r="A21" s="31"/>
      <c r="B21" s="31"/>
      <c r="C21" s="31"/>
      <c r="D21" s="49" t="s">
        <v>41</v>
      </c>
      <c r="E21" s="55"/>
      <c r="F21" s="56"/>
      <c r="G21" s="56"/>
      <c r="H21" s="56"/>
      <c r="I21" s="57"/>
      <c r="J21" s="55"/>
      <c r="K21" s="56"/>
      <c r="L21" s="56"/>
      <c r="M21" s="56"/>
      <c r="N21" s="58"/>
      <c r="O21" s="55"/>
      <c r="P21" s="56"/>
      <c r="Q21" s="56"/>
      <c r="R21" s="56"/>
      <c r="S21" s="57"/>
      <c r="T21" s="55"/>
      <c r="U21" s="56"/>
      <c r="V21" s="56"/>
      <c r="W21" s="56"/>
      <c r="X21" s="57"/>
      <c r="Y21" s="55"/>
      <c r="Z21" s="56"/>
      <c r="AA21" s="56"/>
      <c r="AB21" s="56"/>
      <c r="AC21" s="57"/>
      <c r="AD21" s="55"/>
      <c r="AE21" s="56"/>
      <c r="AF21" s="56"/>
      <c r="AG21" s="56"/>
      <c r="AH21" s="58"/>
      <c r="AI21" s="105">
        <f>(SUM(E21:AH21))/2*60</f>
        <v>0</v>
      </c>
      <c r="AJ21" s="11"/>
      <c r="AK21" s="54" t="s">
        <v>40</v>
      </c>
      <c r="AL21" s="11"/>
      <c r="AM21" s="11"/>
      <c r="AN21" s="11"/>
      <c r="AO21" s="11"/>
      <c r="AP21" s="11"/>
      <c r="AQ21" s="157" t="s">
        <v>44</v>
      </c>
      <c r="AR21" s="157"/>
      <c r="AS21" s="11"/>
      <c r="AT21" s="11"/>
      <c r="AU21" s="11"/>
      <c r="AV21" s="11"/>
      <c r="AW21" s="11"/>
      <c r="AX21" s="11"/>
      <c r="AY21" s="11"/>
    </row>
    <row r="22" spans="1:51" ht="18.75" x14ac:dyDescent="0.3">
      <c r="A22" s="31"/>
      <c r="B22" s="31"/>
      <c r="C22" s="31"/>
      <c r="D22" s="49" t="s">
        <v>43</v>
      </c>
      <c r="E22" s="55"/>
      <c r="F22" s="56"/>
      <c r="G22" s="56"/>
      <c r="H22" s="56"/>
      <c r="I22" s="57"/>
      <c r="J22" s="55"/>
      <c r="K22" s="56"/>
      <c r="L22" s="56"/>
      <c r="M22" s="56"/>
      <c r="N22" s="56"/>
      <c r="O22" s="55"/>
      <c r="P22" s="56"/>
      <c r="Q22" s="56"/>
      <c r="R22" s="56"/>
      <c r="S22" s="57"/>
      <c r="T22" s="55"/>
      <c r="U22" s="56"/>
      <c r="V22" s="56"/>
      <c r="W22" s="56"/>
      <c r="X22" s="57"/>
      <c r="Y22" s="55"/>
      <c r="Z22" s="56"/>
      <c r="AA22" s="56"/>
      <c r="AB22" s="56"/>
      <c r="AC22" s="57"/>
      <c r="AD22" s="55"/>
      <c r="AE22" s="56"/>
      <c r="AF22" s="56"/>
      <c r="AG22" s="56"/>
      <c r="AH22" s="58"/>
      <c r="AI22" s="105">
        <f>(SUM(E22:AH22))/13*60</f>
        <v>0</v>
      </c>
      <c r="AJ22" s="11"/>
      <c r="AK22" s="54" t="s">
        <v>42</v>
      </c>
      <c r="AL22" s="11"/>
      <c r="AM22" s="11"/>
      <c r="AN22" s="11"/>
      <c r="AP22" s="89" t="s">
        <v>45</v>
      </c>
      <c r="AQ22" s="147">
        <f>ROUND((3*G9+G8)/1000,1)</f>
        <v>8.6</v>
      </c>
      <c r="AR22" s="148"/>
      <c r="AS22" s="11" t="s">
        <v>46</v>
      </c>
      <c r="AT22" s="11"/>
      <c r="AU22" s="11"/>
      <c r="AV22" s="11"/>
      <c r="AW22" s="11"/>
      <c r="AX22" s="11"/>
      <c r="AY22" s="11"/>
    </row>
    <row r="23" spans="1:51" ht="18.75" x14ac:dyDescent="0.3">
      <c r="A23" s="31"/>
      <c r="B23" s="31"/>
      <c r="C23" s="31"/>
      <c r="D23" s="49" t="s">
        <v>74</v>
      </c>
      <c r="E23" s="55"/>
      <c r="F23" s="56"/>
      <c r="G23" s="56"/>
      <c r="H23" s="56"/>
      <c r="I23" s="57"/>
      <c r="J23" s="55"/>
      <c r="K23" s="56"/>
      <c r="L23" s="56"/>
      <c r="M23" s="56"/>
      <c r="N23" s="56"/>
      <c r="O23" s="55"/>
      <c r="P23" s="56"/>
      <c r="Q23" s="56"/>
      <c r="R23" s="56"/>
      <c r="S23" s="57"/>
      <c r="T23" s="55"/>
      <c r="U23" s="56"/>
      <c r="V23" s="56"/>
      <c r="W23" s="56"/>
      <c r="X23" s="57"/>
      <c r="Y23" s="55"/>
      <c r="Z23" s="56"/>
      <c r="AA23" s="56"/>
      <c r="AB23" s="56"/>
      <c r="AC23" s="57"/>
      <c r="AD23" s="55"/>
      <c r="AE23" s="56"/>
      <c r="AF23" s="56"/>
      <c r="AG23" s="56"/>
      <c r="AH23" s="58"/>
      <c r="AI23" s="105">
        <f>(SUM(E23:AH23))/15*60</f>
        <v>0</v>
      </c>
      <c r="AJ23" s="11"/>
      <c r="AK23" s="36" t="s">
        <v>64</v>
      </c>
      <c r="AL23" s="11"/>
      <c r="AM23" s="11"/>
      <c r="AN23" s="11"/>
      <c r="AP23" s="89" t="s">
        <v>48</v>
      </c>
      <c r="AQ23" s="147">
        <f>ROUND((8*G9+5*G8)/1000,1)</f>
        <v>27.6</v>
      </c>
      <c r="AR23" s="148"/>
      <c r="AS23" s="11" t="s">
        <v>46</v>
      </c>
      <c r="AT23" s="11"/>
      <c r="AU23" s="11"/>
      <c r="AV23" s="11"/>
      <c r="AW23" s="11"/>
      <c r="AX23" s="11"/>
      <c r="AY23" s="11"/>
    </row>
    <row r="24" spans="1:51" ht="18.75" x14ac:dyDescent="0.3">
      <c r="A24" s="31"/>
      <c r="B24" s="31"/>
      <c r="C24" s="31"/>
      <c r="D24" s="49" t="s">
        <v>47</v>
      </c>
      <c r="E24" s="55"/>
      <c r="F24" s="56"/>
      <c r="G24" s="56"/>
      <c r="H24" s="56"/>
      <c r="I24" s="57"/>
      <c r="J24" s="55"/>
      <c r="K24" s="56"/>
      <c r="L24" s="56"/>
      <c r="M24" s="56"/>
      <c r="N24" s="58"/>
      <c r="O24" s="55"/>
      <c r="P24" s="56"/>
      <c r="Q24" s="56"/>
      <c r="R24" s="56"/>
      <c r="S24" s="57"/>
      <c r="T24" s="55"/>
      <c r="U24" s="56"/>
      <c r="V24" s="56"/>
      <c r="W24" s="56"/>
      <c r="X24" s="57"/>
      <c r="Y24" s="55"/>
      <c r="Z24" s="56"/>
      <c r="AA24" s="56"/>
      <c r="AB24" s="56"/>
      <c r="AC24" s="57"/>
      <c r="AD24" s="55"/>
      <c r="AE24" s="56"/>
      <c r="AF24" s="56"/>
      <c r="AG24" s="56"/>
      <c r="AH24" s="58"/>
      <c r="AI24" s="105">
        <f>(SUM(E24:AH24))</f>
        <v>0</v>
      </c>
      <c r="AJ24" s="11"/>
      <c r="AL24" s="11"/>
      <c r="AM24" s="11"/>
      <c r="AN24" s="11"/>
      <c r="AP24" s="89" t="s">
        <v>50</v>
      </c>
      <c r="AQ24" s="147">
        <f>ROUND(G8/1000,1)</f>
        <v>2</v>
      </c>
      <c r="AR24" s="148"/>
      <c r="AS24" s="11" t="s">
        <v>46</v>
      </c>
      <c r="AT24" s="11"/>
      <c r="AU24" s="11"/>
      <c r="AV24" s="11"/>
      <c r="AW24" s="11"/>
      <c r="AX24" s="11"/>
      <c r="AY24" s="11"/>
    </row>
    <row r="25" spans="1:51" ht="18.75" x14ac:dyDescent="0.3">
      <c r="A25" s="31"/>
      <c r="B25" s="31"/>
      <c r="C25" s="31"/>
      <c r="D25" s="49" t="s">
        <v>49</v>
      </c>
      <c r="E25" s="55"/>
      <c r="F25" s="56"/>
      <c r="G25" s="56"/>
      <c r="H25" s="56"/>
      <c r="I25" s="57"/>
      <c r="J25" s="55"/>
      <c r="K25" s="56"/>
      <c r="L25" s="56"/>
      <c r="M25" s="56"/>
      <c r="N25" s="58"/>
      <c r="O25" s="55"/>
      <c r="P25" s="56"/>
      <c r="Q25" s="56"/>
      <c r="R25" s="56"/>
      <c r="S25" s="57"/>
      <c r="T25" s="55"/>
      <c r="U25" s="56"/>
      <c r="V25" s="56"/>
      <c r="W25" s="56"/>
      <c r="X25" s="57"/>
      <c r="Y25" s="55"/>
      <c r="Z25" s="56"/>
      <c r="AA25" s="56"/>
      <c r="AB25" s="56"/>
      <c r="AC25" s="57"/>
      <c r="AD25" s="55"/>
      <c r="AE25" s="56"/>
      <c r="AF25" s="56"/>
      <c r="AG25" s="56"/>
      <c r="AH25" s="58"/>
      <c r="AI25" s="105">
        <f>(SUM(E25:AH25))/2</f>
        <v>0</v>
      </c>
      <c r="AJ25" s="11"/>
      <c r="AK25" s="11"/>
      <c r="AL25" s="11"/>
      <c r="AM25" s="11"/>
      <c r="AN25" s="11"/>
      <c r="AP25" s="89" t="s">
        <v>51</v>
      </c>
      <c r="AQ25" s="147">
        <f>ROUND((4*G9+2*G8)/1000,1)</f>
        <v>12.8</v>
      </c>
      <c r="AR25" s="148"/>
      <c r="AS25" s="11" t="s">
        <v>46</v>
      </c>
      <c r="AT25" s="11"/>
      <c r="AU25" s="11"/>
      <c r="AV25" s="11"/>
      <c r="AW25" s="11"/>
      <c r="AX25" s="11"/>
      <c r="AY25" s="11"/>
    </row>
    <row r="26" spans="1:51" ht="21.75" thickBot="1" x14ac:dyDescent="0.4">
      <c r="A26" s="31"/>
      <c r="B26" s="31"/>
      <c r="C26" s="31"/>
      <c r="D26" s="49"/>
      <c r="E26" s="59"/>
      <c r="F26" s="60"/>
      <c r="G26" s="60"/>
      <c r="H26" s="60"/>
      <c r="I26" s="61"/>
      <c r="J26" s="59"/>
      <c r="K26" s="60"/>
      <c r="L26" s="60"/>
      <c r="M26" s="60"/>
      <c r="N26" s="62"/>
      <c r="O26" s="59"/>
      <c r="P26" s="60"/>
      <c r="Q26" s="60"/>
      <c r="R26" s="60"/>
      <c r="S26" s="61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59"/>
      <c r="AE26" s="60"/>
      <c r="AF26" s="60"/>
      <c r="AG26" s="60"/>
      <c r="AH26" s="62"/>
      <c r="AI26" s="106"/>
      <c r="AJ26" s="11"/>
      <c r="AK26" s="11" t="s">
        <v>59</v>
      </c>
      <c r="AL26" s="11"/>
      <c r="AM26" s="11"/>
      <c r="AN26" s="11"/>
      <c r="AO26" s="89"/>
      <c r="AP26" s="89"/>
      <c r="AQ26" s="162">
        <f>SUM(AQ22:AR25)*9</f>
        <v>459</v>
      </c>
      <c r="AR26" s="163"/>
      <c r="AS26" s="11" t="s">
        <v>46</v>
      </c>
      <c r="AT26" s="11"/>
      <c r="AU26" s="11"/>
      <c r="AV26" s="11"/>
      <c r="AW26" s="11"/>
      <c r="AX26" s="11"/>
      <c r="AY26" s="11"/>
    </row>
    <row r="27" spans="1:51" ht="18.75" x14ac:dyDescent="0.3">
      <c r="A27" s="63"/>
      <c r="B27" s="63"/>
      <c r="C27" s="63"/>
      <c r="D27" s="64"/>
      <c r="E27" s="65">
        <f t="shared" ref="E27:AH27" si="0">SUM(E17:E26)</f>
        <v>0</v>
      </c>
      <c r="F27" s="65">
        <f t="shared" si="0"/>
        <v>3.6</v>
      </c>
      <c r="G27" s="65">
        <f t="shared" si="0"/>
        <v>0</v>
      </c>
      <c r="H27" s="65">
        <f t="shared" si="0"/>
        <v>0</v>
      </c>
      <c r="I27" s="65">
        <f t="shared" si="0"/>
        <v>0</v>
      </c>
      <c r="J27" s="65">
        <f t="shared" si="0"/>
        <v>0</v>
      </c>
      <c r="K27" s="65">
        <f t="shared" si="0"/>
        <v>0</v>
      </c>
      <c r="L27" s="65">
        <f t="shared" si="0"/>
        <v>0</v>
      </c>
      <c r="M27" s="65">
        <f t="shared" si="0"/>
        <v>0</v>
      </c>
      <c r="N27" s="65">
        <f t="shared" si="0"/>
        <v>0</v>
      </c>
      <c r="O27" s="65">
        <f t="shared" si="0"/>
        <v>0</v>
      </c>
      <c r="P27" s="65">
        <f t="shared" si="0"/>
        <v>0</v>
      </c>
      <c r="Q27" s="65">
        <f t="shared" si="0"/>
        <v>0</v>
      </c>
      <c r="R27" s="65">
        <f t="shared" si="0"/>
        <v>0</v>
      </c>
      <c r="S27" s="65">
        <f t="shared" si="0"/>
        <v>0</v>
      </c>
      <c r="T27" s="65">
        <f t="shared" si="0"/>
        <v>0</v>
      </c>
      <c r="U27" s="65">
        <f t="shared" si="0"/>
        <v>0</v>
      </c>
      <c r="V27" s="65">
        <f t="shared" si="0"/>
        <v>0</v>
      </c>
      <c r="W27" s="65">
        <f t="shared" si="0"/>
        <v>0</v>
      </c>
      <c r="X27" s="65">
        <f t="shared" si="0"/>
        <v>0</v>
      </c>
      <c r="Y27" s="65">
        <f t="shared" si="0"/>
        <v>0</v>
      </c>
      <c r="Z27" s="65">
        <f t="shared" si="0"/>
        <v>0</v>
      </c>
      <c r="AA27" s="65">
        <f t="shared" si="0"/>
        <v>0</v>
      </c>
      <c r="AB27" s="65">
        <f t="shared" si="0"/>
        <v>0</v>
      </c>
      <c r="AC27" s="65">
        <f t="shared" si="0"/>
        <v>0</v>
      </c>
      <c r="AD27" s="65">
        <f t="shared" si="0"/>
        <v>0</v>
      </c>
      <c r="AE27" s="65">
        <f t="shared" si="0"/>
        <v>0</v>
      </c>
      <c r="AF27" s="65">
        <f t="shared" si="0"/>
        <v>0</v>
      </c>
      <c r="AG27" s="65">
        <f t="shared" si="0"/>
        <v>0</v>
      </c>
      <c r="AH27" s="65">
        <f t="shared" si="0"/>
        <v>0</v>
      </c>
      <c r="AI27" s="66"/>
      <c r="AJ27" s="67"/>
      <c r="AK27" s="93" t="s">
        <v>54</v>
      </c>
      <c r="AL27" s="93" t="s">
        <v>55</v>
      </c>
      <c r="AM27" s="93" t="s">
        <v>56</v>
      </c>
      <c r="AN27" s="90"/>
      <c r="AO27" s="67"/>
      <c r="AP27" s="67"/>
      <c r="AQ27" s="67"/>
      <c r="AR27" s="67"/>
      <c r="AS27" s="67"/>
      <c r="AT27" s="67"/>
      <c r="AU27" s="67"/>
      <c r="AV27" s="67"/>
      <c r="AW27" s="67"/>
      <c r="AX27" s="68"/>
      <c r="AY27" s="68"/>
    </row>
    <row r="28" spans="1:51" ht="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69"/>
      <c r="AJ28" s="92" t="s">
        <v>30</v>
      </c>
      <c r="AK28" s="94">
        <v>215023</v>
      </c>
      <c r="AL28" s="94">
        <v>18</v>
      </c>
      <c r="AM28" s="94">
        <f>G8*AL28</f>
        <v>35730</v>
      </c>
      <c r="AN28" s="91"/>
      <c r="AO28" s="11" t="s">
        <v>60</v>
      </c>
      <c r="AP28" s="11"/>
      <c r="AQ28" s="11"/>
      <c r="AR28" s="11"/>
      <c r="AS28" s="70"/>
      <c r="AT28" s="70"/>
      <c r="AU28" s="70"/>
      <c r="AV28" s="70"/>
      <c r="AW28" s="70"/>
      <c r="AX28" s="11"/>
      <c r="AY28" s="11"/>
    </row>
    <row r="29" spans="1:51" ht="21" x14ac:dyDescent="0.35">
      <c r="A29" s="11"/>
      <c r="B29" s="11"/>
      <c r="C29" s="11"/>
      <c r="D29" s="11"/>
      <c r="F29" s="11"/>
      <c r="G29" s="11"/>
      <c r="H29" s="89" t="s">
        <v>52</v>
      </c>
      <c r="I29" s="164" t="s">
        <v>13</v>
      </c>
      <c r="J29" s="165"/>
      <c r="K29" s="165"/>
      <c r="L29" s="165"/>
      <c r="M29" s="165"/>
      <c r="N29" s="166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69"/>
      <c r="AJ29" s="92" t="s">
        <v>61</v>
      </c>
      <c r="AK29" s="94">
        <v>215023</v>
      </c>
      <c r="AL29" s="94">
        <v>18</v>
      </c>
      <c r="AM29" s="94">
        <f>AL29*G9</f>
        <v>39726</v>
      </c>
      <c r="AN29" s="91"/>
      <c r="AO29" s="93" t="s">
        <v>54</v>
      </c>
      <c r="AP29" s="93" t="s">
        <v>55</v>
      </c>
      <c r="AQ29" s="71"/>
      <c r="AR29" s="71"/>
      <c r="AS29" s="11" t="s">
        <v>65</v>
      </c>
      <c r="AT29" s="11"/>
      <c r="AU29" s="11"/>
      <c r="AV29" s="70"/>
      <c r="AW29" s="70"/>
      <c r="AX29" s="11"/>
      <c r="AY29" s="11"/>
    </row>
    <row r="30" spans="1:51" ht="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69"/>
      <c r="AJ30" s="70"/>
      <c r="AK30" s="91"/>
      <c r="AL30" s="92" t="s">
        <v>57</v>
      </c>
      <c r="AM30" s="94">
        <f>SUM(AM28:AM29)</f>
        <v>75456</v>
      </c>
      <c r="AN30" s="91" t="s">
        <v>58</v>
      </c>
      <c r="AO30" s="97">
        <v>250180</v>
      </c>
      <c r="AP30" s="97">
        <f>8*9</f>
        <v>72</v>
      </c>
      <c r="AQ30" s="91" t="s">
        <v>62</v>
      </c>
      <c r="AR30" s="71"/>
      <c r="AS30" s="93" t="s">
        <v>54</v>
      </c>
      <c r="AT30" s="93" t="s">
        <v>55</v>
      </c>
      <c r="AU30" s="71"/>
      <c r="AV30" s="70"/>
      <c r="AW30" s="70"/>
      <c r="AX30" s="11"/>
      <c r="AY30" s="11"/>
    </row>
    <row r="31" spans="1:51" ht="15" x14ac:dyDescent="0.25">
      <c r="A31" s="11"/>
      <c r="B31" s="11"/>
      <c r="C31" s="11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8"/>
      <c r="AJ31" s="70"/>
      <c r="AK31" s="91"/>
      <c r="AL31" s="92" t="s">
        <v>57</v>
      </c>
      <c r="AM31" s="94">
        <f>ROUND(AM30/1000,1)</f>
        <v>75.5</v>
      </c>
      <c r="AN31" s="91" t="s">
        <v>79</v>
      </c>
      <c r="AO31" s="97">
        <v>215186</v>
      </c>
      <c r="AP31" s="97">
        <v>9</v>
      </c>
      <c r="AQ31" s="91" t="s">
        <v>63</v>
      </c>
      <c r="AR31" s="71"/>
      <c r="AS31" s="103">
        <v>131299</v>
      </c>
      <c r="AT31" s="103">
        <v>9</v>
      </c>
      <c r="AU31" s="91" t="s">
        <v>67</v>
      </c>
      <c r="AV31" s="70"/>
      <c r="AW31" s="70"/>
      <c r="AX31" s="11"/>
      <c r="AY31" s="11"/>
    </row>
    <row r="32" spans="1:51" ht="15.75" customHeight="1" x14ac:dyDescent="0.25">
      <c r="A32" s="11"/>
      <c r="B32" s="11"/>
      <c r="C32" s="11"/>
      <c r="D32" s="109"/>
      <c r="E32" s="158"/>
      <c r="F32" s="159"/>
      <c r="G32" s="159"/>
      <c r="H32" s="159"/>
      <c r="I32" s="159"/>
      <c r="J32" s="158"/>
      <c r="K32" s="159"/>
      <c r="L32" s="159"/>
      <c r="M32" s="159"/>
      <c r="N32" s="159"/>
      <c r="O32" s="158"/>
      <c r="P32" s="159"/>
      <c r="Q32" s="159"/>
      <c r="R32" s="159"/>
      <c r="S32" s="159"/>
      <c r="T32" s="158"/>
      <c r="U32" s="159"/>
      <c r="V32" s="159"/>
      <c r="W32" s="159"/>
      <c r="X32" s="159"/>
      <c r="Y32" s="158"/>
      <c r="Z32" s="159"/>
      <c r="AA32" s="159"/>
      <c r="AB32" s="159"/>
      <c r="AC32" s="159"/>
      <c r="AD32" s="158"/>
      <c r="AE32" s="159"/>
      <c r="AF32" s="159"/>
      <c r="AG32" s="159"/>
      <c r="AH32" s="159"/>
      <c r="AI32" s="160"/>
      <c r="AJ32" s="70"/>
      <c r="AK32" s="70"/>
      <c r="AL32" s="70"/>
      <c r="AM32" s="70"/>
      <c r="AN32" s="70"/>
      <c r="AO32" s="91"/>
      <c r="AP32" s="92"/>
      <c r="AQ32" s="71"/>
      <c r="AR32" s="71"/>
      <c r="AS32" s="103">
        <v>591005</v>
      </c>
      <c r="AT32" s="103">
        <v>72</v>
      </c>
      <c r="AU32" s="91" t="s">
        <v>66</v>
      </c>
      <c r="AV32" s="70"/>
      <c r="AW32" s="70"/>
      <c r="AX32" s="11"/>
      <c r="AY32" s="11"/>
    </row>
    <row r="33" spans="1:51" ht="15.75" x14ac:dyDescent="0.25">
      <c r="A33" s="11"/>
      <c r="B33" s="11"/>
      <c r="C33" s="11"/>
      <c r="D33" s="109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60"/>
      <c r="AJ33" s="70"/>
      <c r="AK33" s="70"/>
      <c r="AL33" s="70"/>
      <c r="AM33" s="70"/>
      <c r="AN33" s="70"/>
      <c r="AO33" s="91"/>
      <c r="AP33" s="92"/>
      <c r="AQ33" s="71"/>
      <c r="AR33" s="71"/>
      <c r="AS33" s="103">
        <v>591007</v>
      </c>
      <c r="AT33" s="103">
        <v>27</v>
      </c>
      <c r="AU33" s="91" t="s">
        <v>68</v>
      </c>
      <c r="AV33" s="70"/>
      <c r="AW33" s="70"/>
      <c r="AX33" s="11"/>
      <c r="AY33" s="11"/>
    </row>
    <row r="34" spans="1:51" ht="15.75" x14ac:dyDescent="0.25">
      <c r="A34" s="11"/>
      <c r="B34" s="11"/>
      <c r="C34" s="11"/>
      <c r="D34" s="109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60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91"/>
      <c r="AU34" s="71"/>
      <c r="AV34" s="71"/>
      <c r="AW34" s="70"/>
      <c r="AX34" s="11"/>
      <c r="AY34" s="11"/>
    </row>
    <row r="35" spans="1:51" ht="15.75" x14ac:dyDescent="0.25">
      <c r="A35" s="11"/>
      <c r="B35" s="11"/>
      <c r="C35" s="11"/>
      <c r="D35" s="109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60"/>
      <c r="AJ35" s="70"/>
      <c r="AK35" s="71"/>
      <c r="AL35" s="71"/>
      <c r="AM35" s="71"/>
      <c r="AN35" s="71"/>
      <c r="AO35" s="71"/>
      <c r="AP35" s="71"/>
      <c r="AQ35" s="71"/>
      <c r="AR35" s="71"/>
      <c r="AS35" s="71"/>
      <c r="AT35" s="91"/>
      <c r="AU35" s="71"/>
      <c r="AV35" s="71"/>
      <c r="AW35" s="70"/>
      <c r="AX35" s="11"/>
      <c r="AY35" s="11"/>
    </row>
    <row r="36" spans="1:51" ht="18.75" x14ac:dyDescent="0.25">
      <c r="A36" s="11"/>
      <c r="B36" s="11"/>
      <c r="C36" s="11"/>
      <c r="D36" s="112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4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1"/>
      <c r="AU36" s="71"/>
      <c r="AV36" s="71"/>
      <c r="AW36" s="70"/>
      <c r="AX36" s="11"/>
      <c r="AY36" s="11"/>
    </row>
    <row r="37" spans="1:51" ht="18.75" x14ac:dyDescent="0.25">
      <c r="A37" s="11"/>
      <c r="B37" s="11"/>
      <c r="C37" s="11"/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4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1"/>
      <c r="AU37" s="71"/>
      <c r="AV37" s="71"/>
      <c r="AW37" s="70"/>
      <c r="AX37" s="11"/>
      <c r="AY37" s="11"/>
    </row>
    <row r="38" spans="1:51" ht="18.75" x14ac:dyDescent="0.25">
      <c r="A38" s="11"/>
      <c r="B38" s="11"/>
      <c r="C38" s="11"/>
      <c r="D38" s="112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4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1"/>
      <c r="AU38" s="71"/>
      <c r="AV38" s="71"/>
      <c r="AW38" s="70"/>
      <c r="AX38" s="11"/>
      <c r="AY38" s="11"/>
    </row>
    <row r="39" spans="1:51" ht="18.75" x14ac:dyDescent="0.25">
      <c r="A39" s="11"/>
      <c r="B39" s="11"/>
      <c r="C39" s="11"/>
      <c r="D39" s="112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4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1"/>
      <c r="AU39" s="71"/>
      <c r="AV39" s="71"/>
      <c r="AW39" s="70"/>
      <c r="AX39" s="11"/>
      <c r="AY39" s="11"/>
    </row>
    <row r="40" spans="1:51" ht="18.75" x14ac:dyDescent="0.25">
      <c r="A40" s="11"/>
      <c r="B40" s="11"/>
      <c r="C40" s="11"/>
      <c r="D40" s="112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4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1"/>
      <c r="AU40" s="71"/>
      <c r="AV40" s="71"/>
      <c r="AW40" s="70"/>
      <c r="AX40" s="11"/>
      <c r="AY40" s="11"/>
    </row>
    <row r="41" spans="1:51" ht="18.75" x14ac:dyDescent="0.25">
      <c r="A41" s="11"/>
      <c r="B41" s="11"/>
      <c r="C41" s="11"/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4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1"/>
      <c r="AU41" s="71"/>
      <c r="AV41" s="71"/>
      <c r="AW41" s="70"/>
      <c r="AX41" s="11"/>
      <c r="AY41" s="11"/>
    </row>
    <row r="42" spans="1:51" ht="18.75" x14ac:dyDescent="0.25">
      <c r="A42" s="11"/>
      <c r="B42" s="11"/>
      <c r="C42" s="11"/>
      <c r="D42" s="112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4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1"/>
      <c r="AW42" s="70"/>
      <c r="AX42" s="11"/>
      <c r="AY42" s="11"/>
    </row>
    <row r="43" spans="1:51" ht="18.75" x14ac:dyDescent="0.25">
      <c r="A43" s="11"/>
      <c r="B43" s="11"/>
      <c r="C43" s="11"/>
      <c r="D43" s="112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5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4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1"/>
      <c r="AU43" s="71"/>
      <c r="AV43" s="71"/>
      <c r="AW43" s="70"/>
      <c r="AX43" s="11"/>
      <c r="AY43" s="11"/>
    </row>
    <row r="44" spans="1:51" ht="18.75" x14ac:dyDescent="0.25">
      <c r="A44" s="11"/>
      <c r="B44" s="11"/>
      <c r="C44" s="11"/>
      <c r="D44" s="112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4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1"/>
      <c r="AU44" s="71"/>
      <c r="AV44" s="71"/>
      <c r="AW44" s="70"/>
      <c r="AX44" s="11"/>
      <c r="AY44" s="11"/>
    </row>
    <row r="45" spans="1:51" ht="18.75" x14ac:dyDescent="0.25">
      <c r="A45" s="11"/>
      <c r="B45" s="11"/>
      <c r="C45" s="11"/>
      <c r="D45" s="109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6"/>
      <c r="AJ45" s="70"/>
      <c r="AK45" s="119" t="s">
        <v>13</v>
      </c>
      <c r="AL45" s="101"/>
      <c r="AM45" s="101"/>
      <c r="AN45" s="70"/>
      <c r="AO45" s="70"/>
      <c r="AP45" s="70"/>
      <c r="AQ45" s="70"/>
      <c r="AR45" s="70"/>
      <c r="AS45" s="70"/>
      <c r="AT45" s="71"/>
      <c r="AU45" s="71"/>
      <c r="AV45" s="71"/>
      <c r="AW45" s="70"/>
      <c r="AX45" s="11"/>
      <c r="AY45" s="11"/>
    </row>
    <row r="46" spans="1:51" ht="15.75" x14ac:dyDescent="0.25">
      <c r="A46" s="11"/>
      <c r="B46" s="11"/>
      <c r="C46" s="11"/>
      <c r="D46" s="10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08"/>
      <c r="AJ46" s="70"/>
      <c r="AK46" s="119">
        <v>41888</v>
      </c>
      <c r="AL46" s="101"/>
      <c r="AM46" s="101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11"/>
      <c r="AY46" s="11"/>
    </row>
    <row r="47" spans="1:51" ht="15" x14ac:dyDescent="0.25">
      <c r="A47" s="11"/>
      <c r="B47" s="11"/>
      <c r="C47" s="11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8"/>
      <c r="AJ47" s="70"/>
      <c r="AK47" s="119">
        <f>AK46+1</f>
        <v>41889</v>
      </c>
      <c r="AL47" s="101"/>
      <c r="AM47" s="101"/>
      <c r="AN47" s="70"/>
      <c r="AO47" s="70"/>
      <c r="AP47" s="70"/>
      <c r="AQ47" s="70"/>
      <c r="AR47" s="70"/>
      <c r="AS47" s="70"/>
      <c r="AT47" s="11"/>
      <c r="AU47" s="11"/>
      <c r="AV47" s="11"/>
      <c r="AW47" s="11"/>
      <c r="AX47" s="11"/>
      <c r="AY47" s="11"/>
    </row>
    <row r="48" spans="1:51" ht="15" x14ac:dyDescent="0.25">
      <c r="A48" s="11"/>
      <c r="B48" s="11"/>
      <c r="C48" s="11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8"/>
      <c r="AJ48" s="70"/>
      <c r="AK48" s="119">
        <f t="shared" ref="AK48:AK58" si="1">AK47+1</f>
        <v>41890</v>
      </c>
      <c r="AL48" s="101"/>
      <c r="AM48" s="101"/>
      <c r="AN48" s="70"/>
      <c r="AO48" s="70"/>
      <c r="AP48" s="70"/>
      <c r="AQ48" s="70"/>
      <c r="AR48" s="70"/>
      <c r="AS48" s="70"/>
      <c r="AT48" s="11"/>
      <c r="AU48" s="11"/>
      <c r="AV48" s="11"/>
      <c r="AW48" s="11"/>
      <c r="AX48" s="11"/>
      <c r="AY48" s="11"/>
    </row>
    <row r="49" spans="1:51" ht="21" x14ac:dyDescent="0.35">
      <c r="A49" s="11"/>
      <c r="B49" s="11"/>
      <c r="C49" s="11"/>
      <c r="D49" s="107"/>
      <c r="E49" s="107"/>
      <c r="F49" s="107"/>
      <c r="G49" s="107"/>
      <c r="H49" s="118"/>
      <c r="I49" s="161"/>
      <c r="J49" s="161"/>
      <c r="K49" s="161"/>
      <c r="L49" s="161"/>
      <c r="M49" s="161"/>
      <c r="N49" s="161"/>
      <c r="O49" s="115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8"/>
      <c r="AJ49" s="70"/>
      <c r="AK49" s="119">
        <f t="shared" si="1"/>
        <v>41891</v>
      </c>
      <c r="AL49" s="101"/>
      <c r="AM49" s="101"/>
      <c r="AN49" s="70"/>
      <c r="AO49" s="70"/>
      <c r="AP49" s="70"/>
      <c r="AQ49" s="70"/>
      <c r="AR49" s="70"/>
      <c r="AS49" s="70"/>
      <c r="AT49" s="11"/>
      <c r="AU49" s="11"/>
      <c r="AV49" s="11"/>
      <c r="AW49" s="11"/>
      <c r="AX49" s="11"/>
      <c r="AY49" s="11"/>
    </row>
    <row r="50" spans="1:51" ht="15" x14ac:dyDescent="0.25">
      <c r="AI50" s="12"/>
      <c r="AJ50" s="12"/>
      <c r="AK50" s="119">
        <f t="shared" si="1"/>
        <v>41892</v>
      </c>
      <c r="AL50" s="101"/>
      <c r="AM50" s="101"/>
      <c r="AN50" s="12"/>
      <c r="AO50" s="12"/>
      <c r="AP50" s="12"/>
      <c r="AQ50" s="12"/>
      <c r="AR50" s="12"/>
      <c r="AS50" s="12"/>
    </row>
    <row r="51" spans="1:51" ht="15" x14ac:dyDescent="0.25">
      <c r="AI51" s="12"/>
      <c r="AJ51" s="12"/>
      <c r="AK51" s="119">
        <f t="shared" si="1"/>
        <v>41893</v>
      </c>
      <c r="AL51" s="101"/>
      <c r="AM51" s="101"/>
      <c r="AN51" s="12"/>
      <c r="AO51" s="12"/>
      <c r="AP51" s="12"/>
      <c r="AQ51" s="12"/>
      <c r="AR51" s="12"/>
      <c r="AS51" s="12"/>
    </row>
    <row r="52" spans="1:51" ht="15" x14ac:dyDescent="0.25">
      <c r="AI52" s="12"/>
      <c r="AJ52" s="12"/>
      <c r="AK52" s="119">
        <f t="shared" si="1"/>
        <v>41894</v>
      </c>
      <c r="AL52" s="101"/>
      <c r="AM52" s="101"/>
      <c r="AN52" s="12"/>
      <c r="AO52" s="12"/>
      <c r="AP52" s="12"/>
      <c r="AQ52" s="12"/>
      <c r="AR52" s="12"/>
      <c r="AS52" s="12"/>
    </row>
    <row r="53" spans="1:51" ht="15" x14ac:dyDescent="0.25">
      <c r="AI53" s="12"/>
      <c r="AJ53" s="12"/>
      <c r="AK53" s="119">
        <f t="shared" si="1"/>
        <v>41895</v>
      </c>
      <c r="AL53" s="101"/>
      <c r="AM53" s="101"/>
      <c r="AN53" s="12"/>
      <c r="AO53" s="12"/>
      <c r="AP53" s="12"/>
      <c r="AQ53" s="12"/>
      <c r="AR53" s="12"/>
      <c r="AS53" s="12"/>
    </row>
    <row r="54" spans="1:51" ht="15" x14ac:dyDescent="0.25">
      <c r="AI54" s="12"/>
      <c r="AJ54" s="12"/>
      <c r="AK54" s="119">
        <f t="shared" si="1"/>
        <v>41896</v>
      </c>
      <c r="AL54" s="101"/>
      <c r="AM54" s="101"/>
      <c r="AN54" s="12"/>
      <c r="AO54" s="12"/>
      <c r="AP54" s="12"/>
      <c r="AQ54" s="12"/>
      <c r="AR54" s="12"/>
      <c r="AS54" s="12"/>
    </row>
    <row r="55" spans="1:51" ht="15" x14ac:dyDescent="0.25">
      <c r="AK55" s="119">
        <f t="shared" si="1"/>
        <v>41897</v>
      </c>
      <c r="AL55" s="101"/>
      <c r="AM55" s="101"/>
    </row>
    <row r="56" spans="1:51" ht="15" x14ac:dyDescent="0.25">
      <c r="AK56" s="119">
        <f t="shared" si="1"/>
        <v>41898</v>
      </c>
      <c r="AL56" s="101"/>
      <c r="AM56" s="101"/>
    </row>
    <row r="57" spans="1:51" ht="15" x14ac:dyDescent="0.25">
      <c r="AK57" s="119">
        <f t="shared" si="1"/>
        <v>41899</v>
      </c>
      <c r="AL57" s="101"/>
      <c r="AM57" s="101"/>
    </row>
    <row r="58" spans="1:51" ht="15" x14ac:dyDescent="0.25">
      <c r="AK58" s="119">
        <f t="shared" si="1"/>
        <v>41900</v>
      </c>
      <c r="AL58" s="101"/>
      <c r="AM58" s="101"/>
    </row>
  </sheetData>
  <sheetProtection algorithmName="SHA-512" hashValue="OqCFfc3+yJ0YKusWsNwmP7Kvhu/I7hPGiQoP4Ob4nv6ePhFsfqU03L3kmfuPdsoZ8IbdHJ9tDOSZ80+8xK+Sgg==" saltValue="KJOQoKBoV6TCeDjmr3G1DQ==" spinCount="100000" sheet="1" objects="1" scenarios="1" selectLockedCells="1"/>
  <mergeCells count="32">
    <mergeCell ref="AD32:AH32"/>
    <mergeCell ref="AI32:AI35"/>
    <mergeCell ref="I49:N49"/>
    <mergeCell ref="AQ23:AR23"/>
    <mergeCell ref="AQ24:AR24"/>
    <mergeCell ref="AQ25:AR25"/>
    <mergeCell ref="AQ26:AR26"/>
    <mergeCell ref="I29:N29"/>
    <mergeCell ref="E32:I32"/>
    <mergeCell ref="J32:N32"/>
    <mergeCell ref="O32:S32"/>
    <mergeCell ref="T32:X32"/>
    <mergeCell ref="Y32:AC32"/>
    <mergeCell ref="AQ22:AR22"/>
    <mergeCell ref="B5:D5"/>
    <mergeCell ref="G8:H8"/>
    <mergeCell ref="G9:H9"/>
    <mergeCell ref="E13:I13"/>
    <mergeCell ref="J13:N13"/>
    <mergeCell ref="O13:S13"/>
    <mergeCell ref="T13:X13"/>
    <mergeCell ref="Y13:AC13"/>
    <mergeCell ref="AD13:AH13"/>
    <mergeCell ref="AI13:AI16"/>
    <mergeCell ref="AQ21:AR21"/>
    <mergeCell ref="B1:G1"/>
    <mergeCell ref="H1:Z1"/>
    <mergeCell ref="AC1:AD1"/>
    <mergeCell ref="C2:S2"/>
    <mergeCell ref="T2:Y2"/>
    <mergeCell ref="Z2:AA2"/>
    <mergeCell ref="AC2:AD2"/>
  </mergeCells>
  <dataValidations count="3">
    <dataValidation type="list" allowBlank="1" showInputMessage="1" showErrorMessage="1" sqref="I29:N29 I49:N49">
      <formula1>$AK$45:$AK$58</formula1>
    </dataValidation>
    <dataValidation type="list" allowBlank="1" showInputMessage="1" showErrorMessage="1" sqref="C2">
      <formula1>$D$3:$K$3</formula1>
    </dataValidation>
    <dataValidation type="list" allowBlank="1" showInputMessage="1" showErrorMessage="1" sqref="H1:AB1">
      <formula1>$B$4:$G$4</formula1>
    </dataValidation>
  </dataValidations>
  <printOptions horizontalCentered="1"/>
  <pageMargins left="0.19685039370078741" right="0.23622047244094491" top="0.27559055118110237" bottom="0.27559055118110237" header="0.31496062992125984" footer="0.31496062992125984"/>
  <pageSetup paperSize="9" scale="6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8"/>
  <sheetViews>
    <sheetView showGridLines="0" topLeftCell="D28" zoomScale="70" zoomScaleNormal="70" workbookViewId="0">
      <selection activeCell="K54" sqref="K54"/>
    </sheetView>
  </sheetViews>
  <sheetFormatPr baseColWidth="10" defaultRowHeight="14.25" x14ac:dyDescent="0.25"/>
  <cols>
    <col min="1" max="1" width="6.85546875" style="2" customWidth="1"/>
    <col min="2" max="2" width="10.42578125" style="2" customWidth="1"/>
    <col min="3" max="3" width="5" style="2" customWidth="1"/>
    <col min="4" max="4" width="8.5703125" style="2" customWidth="1"/>
    <col min="5" max="34" width="9.140625" style="2" customWidth="1"/>
    <col min="35" max="36" width="11.42578125" style="2"/>
    <col min="37" max="37" width="14.42578125" style="2" customWidth="1"/>
    <col min="38" max="38" width="12.28515625" style="2" customWidth="1"/>
    <col min="39" max="16384" width="11.42578125" style="2"/>
  </cols>
  <sheetData>
    <row r="1" spans="1:51" s="3" customFormat="1" ht="21" customHeight="1" x14ac:dyDescent="0.25">
      <c r="B1" s="136" t="s">
        <v>23</v>
      </c>
      <c r="C1" s="136"/>
      <c r="D1" s="136"/>
      <c r="E1" s="136"/>
      <c r="F1" s="136"/>
      <c r="G1" s="136"/>
      <c r="H1" s="137" t="s">
        <v>18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"/>
      <c r="AB1" s="14"/>
      <c r="AC1" s="138"/>
      <c r="AD1" s="138"/>
    </row>
    <row r="2" spans="1:51" s="3" customFormat="1" ht="44.25" x14ac:dyDescent="0.35">
      <c r="A2" s="1">
        <v>1.1100000000000001</v>
      </c>
      <c r="B2" s="1"/>
      <c r="C2" s="139" t="s">
        <v>0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1"/>
      <c r="T2" s="142" t="s">
        <v>13</v>
      </c>
      <c r="U2" s="142"/>
      <c r="V2" s="142"/>
      <c r="W2" s="142"/>
      <c r="X2" s="142"/>
      <c r="Y2" s="142"/>
      <c r="Z2" s="143" t="s">
        <v>14</v>
      </c>
      <c r="AA2" s="144"/>
      <c r="AB2" s="15" t="e">
        <f>ROUND(((AY44+O49)*20/69)*2,1)/2</f>
        <v>#REF!</v>
      </c>
      <c r="AC2" s="145" t="s">
        <v>15</v>
      </c>
      <c r="AD2" s="146"/>
      <c r="AE2" s="16" t="s">
        <v>16</v>
      </c>
    </row>
    <row r="3" spans="1:51" s="3" customFormat="1" ht="18.75" customHeight="1" x14ac:dyDescent="0.25">
      <c r="B3" s="4"/>
      <c r="C3" s="5"/>
      <c r="D3" s="17" t="s">
        <v>1</v>
      </c>
      <c r="E3" s="6" t="s">
        <v>0</v>
      </c>
      <c r="F3" s="6" t="s">
        <v>2</v>
      </c>
      <c r="G3" s="6"/>
      <c r="H3" s="6"/>
      <c r="I3" s="6"/>
      <c r="J3" s="7" t="s">
        <v>6</v>
      </c>
      <c r="K3" s="6" t="s">
        <v>7</v>
      </c>
      <c r="L3" s="6" t="s">
        <v>8</v>
      </c>
      <c r="M3" s="7" t="s">
        <v>9</v>
      </c>
      <c r="N3" s="6" t="s">
        <v>10</v>
      </c>
      <c r="O3" s="6" t="s">
        <v>11</v>
      </c>
      <c r="P3" s="6" t="s">
        <v>12</v>
      </c>
      <c r="Q3" s="6"/>
      <c r="R3" s="6"/>
      <c r="S3" s="6" t="s">
        <v>3</v>
      </c>
      <c r="T3" s="6" t="s">
        <v>4</v>
      </c>
      <c r="U3" s="6"/>
      <c r="V3" s="6"/>
      <c r="X3" s="18" t="s">
        <v>21</v>
      </c>
      <c r="Y3" s="18"/>
      <c r="AB3" s="19" t="s">
        <v>77</v>
      </c>
    </row>
    <row r="4" spans="1:51" s="3" customFormat="1" ht="12.75" customHeight="1" x14ac:dyDescent="0.25">
      <c r="B4" s="7" t="s">
        <v>17</v>
      </c>
      <c r="C4" s="7" t="s">
        <v>18</v>
      </c>
      <c r="D4" s="7" t="s">
        <v>19</v>
      </c>
      <c r="E4" s="20" t="s">
        <v>20</v>
      </c>
      <c r="F4" s="21"/>
      <c r="G4" s="8"/>
      <c r="H4" s="8"/>
      <c r="I4" s="8"/>
      <c r="J4" s="8"/>
      <c r="AB4" s="22"/>
      <c r="AE4" s="12"/>
      <c r="AF4" s="23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51" s="3" customFormat="1" ht="23.25" customHeight="1" x14ac:dyDescent="0.25">
      <c r="B5" s="149" t="s">
        <v>5</v>
      </c>
      <c r="C5" s="149"/>
      <c r="D5" s="149"/>
      <c r="E5" s="9"/>
      <c r="F5" s="9" t="s">
        <v>24</v>
      </c>
      <c r="G5" s="9"/>
      <c r="I5" s="10"/>
      <c r="J5" s="8"/>
      <c r="R5" s="6"/>
      <c r="T5" s="25"/>
      <c r="V5" s="25"/>
      <c r="W5" s="25"/>
      <c r="X5" s="6"/>
      <c r="Y5" s="6"/>
      <c r="Z5" s="26"/>
      <c r="AA5" s="26"/>
      <c r="AB5" s="27"/>
      <c r="AC5" s="6"/>
      <c r="AD5" s="28"/>
      <c r="AE5" s="11"/>
      <c r="AF5" s="11"/>
      <c r="AG5" s="11"/>
      <c r="AH5" s="11"/>
      <c r="AI5" s="29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1" ht="1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29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ht="15" x14ac:dyDescent="0.25">
      <c r="A7" s="11"/>
      <c r="B7" s="11"/>
      <c r="C7" s="11"/>
      <c r="D7" s="11"/>
      <c r="E7" s="11"/>
      <c r="F7" s="11" t="s">
        <v>25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29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ht="15" x14ac:dyDescent="0.25">
      <c r="A8" s="11"/>
      <c r="B8" s="11"/>
      <c r="C8" s="11"/>
      <c r="D8" s="11"/>
      <c r="E8" s="11"/>
      <c r="F8" s="11" t="s">
        <v>26</v>
      </c>
      <c r="G8" s="150">
        <f>ROUNDUP(1788*$A$2,0)</f>
        <v>1985</v>
      </c>
      <c r="H8" s="15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29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ht="15" x14ac:dyDescent="0.25">
      <c r="A9" s="11"/>
      <c r="B9" s="11"/>
      <c r="C9" s="11"/>
      <c r="D9" s="11"/>
      <c r="E9" s="11"/>
      <c r="F9" s="11" t="s">
        <v>27</v>
      </c>
      <c r="G9" s="150">
        <f>ROUNDUP(1988*$A$2,0)</f>
        <v>2207</v>
      </c>
      <c r="H9" s="15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29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51" ht="1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29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ht="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29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1" ht="21.75" thickBot="1" x14ac:dyDescent="0.35">
      <c r="A12" s="31"/>
      <c r="B12" s="31"/>
      <c r="C12" s="31"/>
      <c r="D12" s="32"/>
      <c r="E12" s="33" t="s">
        <v>28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5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</row>
    <row r="13" spans="1:51" ht="18.75" x14ac:dyDescent="0.3">
      <c r="A13" s="31"/>
      <c r="B13" s="31"/>
      <c r="C13" s="31"/>
      <c r="D13" s="32"/>
      <c r="E13" s="151">
        <v>41883</v>
      </c>
      <c r="F13" s="152"/>
      <c r="G13" s="152"/>
      <c r="H13" s="152"/>
      <c r="I13" s="153"/>
      <c r="J13" s="151">
        <f>E13</f>
        <v>41883</v>
      </c>
      <c r="K13" s="152"/>
      <c r="L13" s="152"/>
      <c r="M13" s="152"/>
      <c r="N13" s="153"/>
      <c r="O13" s="151">
        <f>J13</f>
        <v>41883</v>
      </c>
      <c r="P13" s="152"/>
      <c r="Q13" s="152"/>
      <c r="R13" s="152"/>
      <c r="S13" s="153"/>
      <c r="T13" s="151">
        <f>O13</f>
        <v>41883</v>
      </c>
      <c r="U13" s="152"/>
      <c r="V13" s="152"/>
      <c r="W13" s="152"/>
      <c r="X13" s="153"/>
      <c r="Y13" s="151">
        <f>T13</f>
        <v>41883</v>
      </c>
      <c r="Z13" s="152"/>
      <c r="AA13" s="152"/>
      <c r="AB13" s="152"/>
      <c r="AC13" s="153"/>
      <c r="AD13" s="151">
        <f>Y13</f>
        <v>41883</v>
      </c>
      <c r="AE13" s="152"/>
      <c r="AF13" s="152"/>
      <c r="AG13" s="152"/>
      <c r="AH13" s="153"/>
      <c r="AI13" s="170" t="s">
        <v>69</v>
      </c>
      <c r="AJ13" s="11"/>
      <c r="AK13" s="36" t="s">
        <v>29</v>
      </c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</row>
    <row r="14" spans="1:51" ht="18.75" x14ac:dyDescent="0.3">
      <c r="A14" s="31"/>
      <c r="B14" s="31"/>
      <c r="C14" s="31"/>
      <c r="D14" s="32"/>
      <c r="E14" s="37" t="s">
        <v>30</v>
      </c>
      <c r="F14" s="38" t="s">
        <v>31</v>
      </c>
      <c r="G14" s="38" t="s">
        <v>31</v>
      </c>
      <c r="H14" s="38" t="s">
        <v>32</v>
      </c>
      <c r="I14" s="40" t="s">
        <v>33</v>
      </c>
      <c r="J14" s="37" t="s">
        <v>30</v>
      </c>
      <c r="K14" s="38" t="s">
        <v>31</v>
      </c>
      <c r="L14" s="38" t="s">
        <v>31</v>
      </c>
      <c r="M14" s="38" t="s">
        <v>32</v>
      </c>
      <c r="N14" s="40" t="s">
        <v>33</v>
      </c>
      <c r="O14" s="37" t="s">
        <v>30</v>
      </c>
      <c r="P14" s="38" t="s">
        <v>31</v>
      </c>
      <c r="Q14" s="38" t="s">
        <v>31</v>
      </c>
      <c r="R14" s="38" t="s">
        <v>32</v>
      </c>
      <c r="S14" s="40" t="s">
        <v>33</v>
      </c>
      <c r="T14" s="37" t="s">
        <v>30</v>
      </c>
      <c r="U14" s="38" t="s">
        <v>31</v>
      </c>
      <c r="V14" s="38" t="s">
        <v>31</v>
      </c>
      <c r="W14" s="38" t="s">
        <v>32</v>
      </c>
      <c r="X14" s="40" t="s">
        <v>33</v>
      </c>
      <c r="Y14" s="37" t="s">
        <v>30</v>
      </c>
      <c r="Z14" s="38" t="s">
        <v>31</v>
      </c>
      <c r="AA14" s="38" t="s">
        <v>31</v>
      </c>
      <c r="AB14" s="38" t="s">
        <v>32</v>
      </c>
      <c r="AC14" s="40" t="s">
        <v>33</v>
      </c>
      <c r="AD14" s="37" t="s">
        <v>30</v>
      </c>
      <c r="AE14" s="38" t="s">
        <v>31</v>
      </c>
      <c r="AF14" s="38" t="s">
        <v>31</v>
      </c>
      <c r="AG14" s="38" t="s">
        <v>32</v>
      </c>
      <c r="AH14" s="40" t="s">
        <v>33</v>
      </c>
      <c r="AI14" s="171"/>
      <c r="AJ14" s="11"/>
      <c r="AK14" s="36" t="s">
        <v>78</v>
      </c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  <row r="15" spans="1:51" ht="18.75" x14ac:dyDescent="0.3">
      <c r="A15" s="31"/>
      <c r="B15" s="31"/>
      <c r="C15" s="31"/>
      <c r="D15" s="41"/>
      <c r="E15" s="42">
        <v>1</v>
      </c>
      <c r="F15" s="43">
        <v>2</v>
      </c>
      <c r="G15" s="43">
        <v>3</v>
      </c>
      <c r="H15" s="43">
        <v>4</v>
      </c>
      <c r="I15" s="45">
        <v>5</v>
      </c>
      <c r="J15" s="42">
        <v>6</v>
      </c>
      <c r="K15" s="43">
        <v>7</v>
      </c>
      <c r="L15" s="43">
        <v>8</v>
      </c>
      <c r="M15" s="43">
        <v>9</v>
      </c>
      <c r="N15" s="45">
        <v>10</v>
      </c>
      <c r="O15" s="42">
        <v>11</v>
      </c>
      <c r="P15" s="43">
        <v>12</v>
      </c>
      <c r="Q15" s="43">
        <v>13</v>
      </c>
      <c r="R15" s="43">
        <v>14</v>
      </c>
      <c r="S15" s="45">
        <v>15</v>
      </c>
      <c r="T15" s="42">
        <v>16</v>
      </c>
      <c r="U15" s="43">
        <v>17</v>
      </c>
      <c r="V15" s="43">
        <v>18</v>
      </c>
      <c r="W15" s="43">
        <v>19</v>
      </c>
      <c r="X15" s="45">
        <v>20</v>
      </c>
      <c r="Y15" s="42">
        <v>21</v>
      </c>
      <c r="Z15" s="43">
        <v>22</v>
      </c>
      <c r="AA15" s="43">
        <v>23</v>
      </c>
      <c r="AB15" s="43">
        <v>24</v>
      </c>
      <c r="AC15" s="45">
        <v>25</v>
      </c>
      <c r="AD15" s="42">
        <v>26</v>
      </c>
      <c r="AE15" s="43">
        <v>27</v>
      </c>
      <c r="AF15" s="43">
        <v>28</v>
      </c>
      <c r="AG15" s="43">
        <v>29</v>
      </c>
      <c r="AH15" s="45">
        <v>30</v>
      </c>
      <c r="AI15" s="171"/>
      <c r="AJ15" s="11"/>
      <c r="AK15" s="36" t="s">
        <v>53</v>
      </c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51" ht="19.5" thickBot="1" x14ac:dyDescent="0.35">
      <c r="A16" s="31"/>
      <c r="B16" s="31"/>
      <c r="C16" s="31"/>
      <c r="D16" s="32"/>
      <c r="E16" s="46"/>
      <c r="F16" s="47"/>
      <c r="G16" s="47"/>
      <c r="H16" s="47"/>
      <c r="I16" s="48"/>
      <c r="J16" s="46"/>
      <c r="K16" s="47"/>
      <c r="L16" s="47"/>
      <c r="M16" s="47"/>
      <c r="N16" s="48"/>
      <c r="O16" s="46"/>
      <c r="P16" s="47"/>
      <c r="Q16" s="47"/>
      <c r="R16" s="47"/>
      <c r="S16" s="48"/>
      <c r="T16" s="46"/>
      <c r="U16" s="47"/>
      <c r="V16" s="47"/>
      <c r="W16" s="47"/>
      <c r="X16" s="48"/>
      <c r="Y16" s="46"/>
      <c r="Z16" s="47"/>
      <c r="AA16" s="47"/>
      <c r="AB16" s="47"/>
      <c r="AC16" s="48"/>
      <c r="AD16" s="46"/>
      <c r="AE16" s="47"/>
      <c r="AF16" s="47"/>
      <c r="AG16" s="47"/>
      <c r="AH16" s="48"/>
      <c r="AI16" s="172"/>
      <c r="AJ16" s="11"/>
      <c r="AK16" s="36" t="s">
        <v>34</v>
      </c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</row>
    <row r="17" spans="1:51" ht="18.75" x14ac:dyDescent="0.3">
      <c r="A17" s="31"/>
      <c r="B17" s="31"/>
      <c r="C17" s="31"/>
      <c r="D17" s="49" t="s">
        <v>35</v>
      </c>
      <c r="E17" s="50"/>
      <c r="F17" s="120">
        <f>'Contrôle P3-5'!F17</f>
        <v>3.6</v>
      </c>
      <c r="G17" s="120">
        <f>'Contrôle P3-5'!G17</f>
        <v>0</v>
      </c>
      <c r="H17" s="120">
        <f>'Contrôle P3-5'!H17</f>
        <v>0</v>
      </c>
      <c r="I17" s="124">
        <f>'Contrôle P3-5'!I17</f>
        <v>0</v>
      </c>
      <c r="J17" s="127">
        <f>'Contrôle P3-5'!J17</f>
        <v>0</v>
      </c>
      <c r="K17" s="120">
        <f>'Contrôle P3-5'!K17</f>
        <v>0</v>
      </c>
      <c r="L17" s="120">
        <f>'Contrôle P3-5'!L17</f>
        <v>0</v>
      </c>
      <c r="M17" s="120">
        <f>'Contrôle P3-5'!M17</f>
        <v>0</v>
      </c>
      <c r="N17" s="124">
        <f>'Contrôle P3-5'!N17</f>
        <v>0</v>
      </c>
      <c r="O17" s="127">
        <f>'Contrôle P3-5'!O17</f>
        <v>0</v>
      </c>
      <c r="P17" s="120">
        <f>'Contrôle P3-5'!P17</f>
        <v>0</v>
      </c>
      <c r="Q17" s="120">
        <f>'Contrôle P3-5'!Q17</f>
        <v>0</v>
      </c>
      <c r="R17" s="120">
        <f>'Contrôle P3-5'!R17</f>
        <v>0</v>
      </c>
      <c r="S17" s="124">
        <f>'Contrôle P3-5'!S17</f>
        <v>0</v>
      </c>
      <c r="T17" s="127">
        <f>'Contrôle P3-5'!T17</f>
        <v>0</v>
      </c>
      <c r="U17" s="120">
        <f>'Contrôle P3-5'!U17</f>
        <v>0</v>
      </c>
      <c r="V17" s="120">
        <f>'Contrôle P3-5'!V17</f>
        <v>0</v>
      </c>
      <c r="W17" s="120">
        <f>'Contrôle P3-5'!W17</f>
        <v>0</v>
      </c>
      <c r="X17" s="124">
        <f>'Contrôle P3-5'!X17</f>
        <v>0</v>
      </c>
      <c r="Y17" s="127">
        <f>'Contrôle P3-5'!Y17</f>
        <v>0</v>
      </c>
      <c r="Z17" s="120">
        <f>'Contrôle P3-5'!Z17</f>
        <v>0</v>
      </c>
      <c r="AA17" s="120">
        <f>'Contrôle P3-5'!AA17</f>
        <v>0</v>
      </c>
      <c r="AB17" s="120">
        <f>'Contrôle P3-5'!AB17</f>
        <v>0</v>
      </c>
      <c r="AC17" s="124">
        <f>'Contrôle P3-5'!AC17</f>
        <v>0</v>
      </c>
      <c r="AD17" s="127">
        <f>'Contrôle P3-5'!AD17</f>
        <v>0</v>
      </c>
      <c r="AE17" s="120">
        <f>'Contrôle P3-5'!AE17</f>
        <v>0</v>
      </c>
      <c r="AF17" s="120">
        <f>'Contrôle P3-5'!AF17</f>
        <v>0</v>
      </c>
      <c r="AG17" s="120">
        <f>'Contrôle P3-5'!AG17</f>
        <v>0</v>
      </c>
      <c r="AH17" s="124">
        <f>'Contrôle P3-5'!AH17</f>
        <v>0</v>
      </c>
      <c r="AI17" s="121">
        <f>(SUM(E17:AH17))/7*60</f>
        <v>30.857142857142861</v>
      </c>
      <c r="AJ17" s="11"/>
      <c r="AK17" s="54" t="s">
        <v>71</v>
      </c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</row>
    <row r="18" spans="1:51" ht="18.75" x14ac:dyDescent="0.3">
      <c r="A18" s="31"/>
      <c r="B18" s="31"/>
      <c r="C18" s="31"/>
      <c r="D18" s="49" t="s">
        <v>36</v>
      </c>
      <c r="E18" s="50"/>
      <c r="F18" s="120">
        <f>'Contrôle P3-5'!F18</f>
        <v>0</v>
      </c>
      <c r="G18" s="120">
        <f>'Contrôle P3-5'!G18</f>
        <v>0</v>
      </c>
      <c r="H18" s="120">
        <f>'Contrôle P3-5'!H18</f>
        <v>0</v>
      </c>
      <c r="I18" s="124">
        <f>'Contrôle P3-5'!I18</f>
        <v>0</v>
      </c>
      <c r="J18" s="127">
        <f>'Contrôle P3-5'!J18</f>
        <v>0</v>
      </c>
      <c r="K18" s="120">
        <f>'Contrôle P3-5'!K18</f>
        <v>0</v>
      </c>
      <c r="L18" s="120">
        <f>'Contrôle P3-5'!L18</f>
        <v>0</v>
      </c>
      <c r="M18" s="120">
        <f>'Contrôle P3-5'!M18</f>
        <v>0</v>
      </c>
      <c r="N18" s="124">
        <f>'Contrôle P3-5'!N18</f>
        <v>0</v>
      </c>
      <c r="O18" s="127">
        <f>'Contrôle P3-5'!O18</f>
        <v>0</v>
      </c>
      <c r="P18" s="120">
        <f>'Contrôle P3-5'!P18</f>
        <v>0</v>
      </c>
      <c r="Q18" s="120">
        <f>'Contrôle P3-5'!Q18</f>
        <v>0</v>
      </c>
      <c r="R18" s="120">
        <f>'Contrôle P3-5'!R18</f>
        <v>0</v>
      </c>
      <c r="S18" s="124">
        <f>'Contrôle P3-5'!S18</f>
        <v>0</v>
      </c>
      <c r="T18" s="127">
        <f>'Contrôle P3-5'!T18</f>
        <v>0</v>
      </c>
      <c r="U18" s="120">
        <f>'Contrôle P3-5'!U18</f>
        <v>0</v>
      </c>
      <c r="V18" s="120">
        <f>'Contrôle P3-5'!V18</f>
        <v>0</v>
      </c>
      <c r="W18" s="120">
        <f>'Contrôle P3-5'!W18</f>
        <v>0</v>
      </c>
      <c r="X18" s="124">
        <f>'Contrôle P3-5'!X18</f>
        <v>0</v>
      </c>
      <c r="Y18" s="127">
        <f>'Contrôle P3-5'!Y18</f>
        <v>0</v>
      </c>
      <c r="Z18" s="120">
        <f>'Contrôle P3-5'!Z18</f>
        <v>0</v>
      </c>
      <c r="AA18" s="120">
        <f>'Contrôle P3-5'!AA18</f>
        <v>0</v>
      </c>
      <c r="AB18" s="120">
        <f>'Contrôle P3-5'!AB18</f>
        <v>0</v>
      </c>
      <c r="AC18" s="124">
        <f>'Contrôle P3-5'!AC18</f>
        <v>0</v>
      </c>
      <c r="AD18" s="127">
        <f>'Contrôle P3-5'!AD18</f>
        <v>0</v>
      </c>
      <c r="AE18" s="120">
        <f>'Contrôle P3-5'!AE18</f>
        <v>0</v>
      </c>
      <c r="AF18" s="120">
        <f>'Contrôle P3-5'!AF18</f>
        <v>0</v>
      </c>
      <c r="AG18" s="120">
        <f>'Contrôle P3-5'!AG18</f>
        <v>0</v>
      </c>
      <c r="AH18" s="124">
        <f>'Contrôle P3-5'!AH18</f>
        <v>0</v>
      </c>
      <c r="AI18" s="122">
        <f>(SUM(E18:AH18))/9*60</f>
        <v>0</v>
      </c>
      <c r="AJ18" s="11"/>
      <c r="AK18" s="36" t="s">
        <v>37</v>
      </c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</row>
    <row r="19" spans="1:51" ht="18.75" x14ac:dyDescent="0.3">
      <c r="A19" s="31"/>
      <c r="B19" s="31"/>
      <c r="C19" s="31"/>
      <c r="D19" s="49" t="s">
        <v>70</v>
      </c>
      <c r="E19" s="55"/>
      <c r="F19" s="120">
        <f>'Contrôle P3-5'!F19</f>
        <v>0</v>
      </c>
      <c r="G19" s="120">
        <f>'Contrôle P3-5'!G19</f>
        <v>0</v>
      </c>
      <c r="H19" s="120">
        <f>'Contrôle P3-5'!H19</f>
        <v>0</v>
      </c>
      <c r="I19" s="124">
        <f>'Contrôle P3-5'!I19</f>
        <v>0</v>
      </c>
      <c r="J19" s="127">
        <f>'Contrôle P3-5'!J19</f>
        <v>0</v>
      </c>
      <c r="K19" s="120">
        <f>'Contrôle P3-5'!K19</f>
        <v>0</v>
      </c>
      <c r="L19" s="120">
        <f>'Contrôle P3-5'!L19</f>
        <v>0</v>
      </c>
      <c r="M19" s="120">
        <f>'Contrôle P3-5'!M19</f>
        <v>0</v>
      </c>
      <c r="N19" s="124">
        <f>'Contrôle P3-5'!N19</f>
        <v>0</v>
      </c>
      <c r="O19" s="127">
        <f>'Contrôle P3-5'!O19</f>
        <v>0</v>
      </c>
      <c r="P19" s="120">
        <f>'Contrôle P3-5'!P19</f>
        <v>0</v>
      </c>
      <c r="Q19" s="120">
        <f>'Contrôle P3-5'!Q19</f>
        <v>0</v>
      </c>
      <c r="R19" s="120">
        <f>'Contrôle P3-5'!R19</f>
        <v>0</v>
      </c>
      <c r="S19" s="124">
        <f>'Contrôle P3-5'!S19</f>
        <v>0</v>
      </c>
      <c r="T19" s="127">
        <f>'Contrôle P3-5'!T19</f>
        <v>0</v>
      </c>
      <c r="U19" s="120">
        <f>'Contrôle P3-5'!U19</f>
        <v>0</v>
      </c>
      <c r="V19" s="120">
        <f>'Contrôle P3-5'!V19</f>
        <v>0</v>
      </c>
      <c r="W19" s="120">
        <f>'Contrôle P3-5'!W19</f>
        <v>0</v>
      </c>
      <c r="X19" s="124">
        <f>'Contrôle P3-5'!X19</f>
        <v>0</v>
      </c>
      <c r="Y19" s="127">
        <f>'Contrôle P3-5'!Y19</f>
        <v>0</v>
      </c>
      <c r="Z19" s="120">
        <f>'Contrôle P3-5'!Z19</f>
        <v>0</v>
      </c>
      <c r="AA19" s="120">
        <f>'Contrôle P3-5'!AA19</f>
        <v>0</v>
      </c>
      <c r="AB19" s="120">
        <f>'Contrôle P3-5'!AB19</f>
        <v>0</v>
      </c>
      <c r="AC19" s="124">
        <f>'Contrôle P3-5'!AC19</f>
        <v>0</v>
      </c>
      <c r="AD19" s="127">
        <f>'Contrôle P3-5'!AD19</f>
        <v>0</v>
      </c>
      <c r="AE19" s="120">
        <f>'Contrôle P3-5'!AE19</f>
        <v>0</v>
      </c>
      <c r="AF19" s="120">
        <f>'Contrôle P3-5'!AF19</f>
        <v>0</v>
      </c>
      <c r="AG19" s="120">
        <f>'Contrôle P3-5'!AG19</f>
        <v>0</v>
      </c>
      <c r="AH19" s="124">
        <f>'Contrôle P3-5'!AH19</f>
        <v>0</v>
      </c>
      <c r="AI19" s="122">
        <f>(SUM(E19:AH19))/9*60</f>
        <v>0</v>
      </c>
      <c r="AJ19" s="11"/>
      <c r="AK19" s="54" t="s">
        <v>38</v>
      </c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</row>
    <row r="20" spans="1:51" ht="18.75" x14ac:dyDescent="0.3">
      <c r="A20" s="31"/>
      <c r="B20" s="31"/>
      <c r="C20" s="31"/>
      <c r="D20" s="49" t="s">
        <v>39</v>
      </c>
      <c r="E20" s="55"/>
      <c r="F20" s="120">
        <f>'Contrôle P3-5'!F20</f>
        <v>0</v>
      </c>
      <c r="G20" s="120">
        <f>'Contrôle P3-5'!G20</f>
        <v>0</v>
      </c>
      <c r="H20" s="120">
        <f>'Contrôle P3-5'!H20</f>
        <v>0</v>
      </c>
      <c r="I20" s="124">
        <f>'Contrôle P3-5'!I20</f>
        <v>0</v>
      </c>
      <c r="J20" s="127">
        <f>'Contrôle P3-5'!J20</f>
        <v>0</v>
      </c>
      <c r="K20" s="120">
        <f>'Contrôle P3-5'!K20</f>
        <v>0</v>
      </c>
      <c r="L20" s="120">
        <f>'Contrôle P3-5'!L20</f>
        <v>0</v>
      </c>
      <c r="M20" s="120">
        <f>'Contrôle P3-5'!M20</f>
        <v>0</v>
      </c>
      <c r="N20" s="124">
        <f>'Contrôle P3-5'!N20</f>
        <v>0</v>
      </c>
      <c r="O20" s="127">
        <f>'Contrôle P3-5'!O20</f>
        <v>0</v>
      </c>
      <c r="P20" s="120">
        <f>'Contrôle P3-5'!P20</f>
        <v>0</v>
      </c>
      <c r="Q20" s="120">
        <f>'Contrôle P3-5'!Q20</f>
        <v>0</v>
      </c>
      <c r="R20" s="120">
        <f>'Contrôle P3-5'!R20</f>
        <v>0</v>
      </c>
      <c r="S20" s="124">
        <f>'Contrôle P3-5'!S20</f>
        <v>0</v>
      </c>
      <c r="T20" s="127">
        <f>'Contrôle P3-5'!T20</f>
        <v>0</v>
      </c>
      <c r="U20" s="120">
        <f>'Contrôle P3-5'!U20</f>
        <v>0</v>
      </c>
      <c r="V20" s="120">
        <f>'Contrôle P3-5'!V20</f>
        <v>0</v>
      </c>
      <c r="W20" s="120">
        <f>'Contrôle P3-5'!W20</f>
        <v>0</v>
      </c>
      <c r="X20" s="124">
        <f>'Contrôle P3-5'!X20</f>
        <v>0</v>
      </c>
      <c r="Y20" s="127">
        <f>'Contrôle P3-5'!Y20</f>
        <v>0</v>
      </c>
      <c r="Z20" s="120">
        <f>'Contrôle P3-5'!Z20</f>
        <v>0</v>
      </c>
      <c r="AA20" s="120">
        <f>'Contrôle P3-5'!AA20</f>
        <v>0</v>
      </c>
      <c r="AB20" s="120">
        <f>'Contrôle P3-5'!AB20</f>
        <v>0</v>
      </c>
      <c r="AC20" s="124">
        <f>'Contrôle P3-5'!AC20</f>
        <v>0</v>
      </c>
      <c r="AD20" s="127">
        <f>'Contrôle P3-5'!AD20</f>
        <v>0</v>
      </c>
      <c r="AE20" s="120">
        <f>'Contrôle P3-5'!AE20</f>
        <v>0</v>
      </c>
      <c r="AF20" s="120">
        <f>'Contrôle P3-5'!AF20</f>
        <v>0</v>
      </c>
      <c r="AG20" s="120">
        <f>'Contrôle P3-5'!AG20</f>
        <v>0</v>
      </c>
      <c r="AH20" s="124">
        <f>'Contrôle P3-5'!AH20</f>
        <v>0</v>
      </c>
      <c r="AI20" s="122">
        <f>(SUM(E20:AH20))/7*60</f>
        <v>0</v>
      </c>
      <c r="AJ20" s="11"/>
      <c r="AK20" s="54" t="s">
        <v>73</v>
      </c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 t="s">
        <v>72</v>
      </c>
      <c r="AY20" s="11"/>
    </row>
    <row r="21" spans="1:51" ht="18.75" x14ac:dyDescent="0.3">
      <c r="A21" s="31"/>
      <c r="B21" s="31"/>
      <c r="C21" s="31"/>
      <c r="D21" s="49" t="s">
        <v>41</v>
      </c>
      <c r="E21" s="55"/>
      <c r="F21" s="120">
        <f>'Contrôle P3-5'!F21</f>
        <v>0</v>
      </c>
      <c r="G21" s="120">
        <f>'Contrôle P3-5'!G21</f>
        <v>0</v>
      </c>
      <c r="H21" s="120">
        <f>'Contrôle P3-5'!H21</f>
        <v>0</v>
      </c>
      <c r="I21" s="124">
        <f>'Contrôle P3-5'!I21</f>
        <v>0</v>
      </c>
      <c r="J21" s="127">
        <f>'Contrôle P3-5'!J21</f>
        <v>0</v>
      </c>
      <c r="K21" s="120">
        <f>'Contrôle P3-5'!K21</f>
        <v>0</v>
      </c>
      <c r="L21" s="120">
        <f>'Contrôle P3-5'!L21</f>
        <v>0</v>
      </c>
      <c r="M21" s="120">
        <f>'Contrôle P3-5'!M21</f>
        <v>0</v>
      </c>
      <c r="N21" s="124">
        <f>'Contrôle P3-5'!N21</f>
        <v>0</v>
      </c>
      <c r="O21" s="127">
        <f>'Contrôle P3-5'!O21</f>
        <v>0</v>
      </c>
      <c r="P21" s="120">
        <f>'Contrôle P3-5'!P21</f>
        <v>0</v>
      </c>
      <c r="Q21" s="120">
        <f>'Contrôle P3-5'!Q21</f>
        <v>0</v>
      </c>
      <c r="R21" s="120">
        <f>'Contrôle P3-5'!R21</f>
        <v>0</v>
      </c>
      <c r="S21" s="124">
        <f>'Contrôle P3-5'!S21</f>
        <v>0</v>
      </c>
      <c r="T21" s="127">
        <f>'Contrôle P3-5'!T21</f>
        <v>0</v>
      </c>
      <c r="U21" s="120">
        <f>'Contrôle P3-5'!U21</f>
        <v>0</v>
      </c>
      <c r="V21" s="120">
        <f>'Contrôle P3-5'!V21</f>
        <v>0</v>
      </c>
      <c r="W21" s="120">
        <f>'Contrôle P3-5'!W21</f>
        <v>0</v>
      </c>
      <c r="X21" s="124">
        <f>'Contrôle P3-5'!X21</f>
        <v>0</v>
      </c>
      <c r="Y21" s="127">
        <f>'Contrôle P3-5'!Y21</f>
        <v>0</v>
      </c>
      <c r="Z21" s="120">
        <f>'Contrôle P3-5'!Z21</f>
        <v>0</v>
      </c>
      <c r="AA21" s="120">
        <f>'Contrôle P3-5'!AA21</f>
        <v>0</v>
      </c>
      <c r="AB21" s="120">
        <f>'Contrôle P3-5'!AB21</f>
        <v>0</v>
      </c>
      <c r="AC21" s="124">
        <f>'Contrôle P3-5'!AC21</f>
        <v>0</v>
      </c>
      <c r="AD21" s="127">
        <f>'Contrôle P3-5'!AD21</f>
        <v>0</v>
      </c>
      <c r="AE21" s="120">
        <f>'Contrôle P3-5'!AE21</f>
        <v>0</v>
      </c>
      <c r="AF21" s="120">
        <f>'Contrôle P3-5'!AF21</f>
        <v>0</v>
      </c>
      <c r="AG21" s="120">
        <f>'Contrôle P3-5'!AG21</f>
        <v>0</v>
      </c>
      <c r="AH21" s="124">
        <f>'Contrôle P3-5'!AH21</f>
        <v>0</v>
      </c>
      <c r="AI21" s="122">
        <f>(SUM(E21:AH21))/2*60</f>
        <v>0</v>
      </c>
      <c r="AJ21" s="11"/>
      <c r="AK21" s="54" t="s">
        <v>40</v>
      </c>
      <c r="AL21" s="11"/>
      <c r="AM21" s="11"/>
      <c r="AN21" s="11"/>
      <c r="AO21" s="11"/>
      <c r="AP21" s="11"/>
      <c r="AQ21" s="157" t="s">
        <v>44</v>
      </c>
      <c r="AR21" s="157"/>
      <c r="AS21" s="11"/>
      <c r="AT21" s="11"/>
      <c r="AU21" s="11"/>
      <c r="AV21" s="11"/>
      <c r="AW21" s="11"/>
      <c r="AX21" s="11"/>
      <c r="AY21" s="11"/>
    </row>
    <row r="22" spans="1:51" ht="18.75" x14ac:dyDescent="0.3">
      <c r="A22" s="31"/>
      <c r="B22" s="31"/>
      <c r="C22" s="31"/>
      <c r="D22" s="49" t="s">
        <v>43</v>
      </c>
      <c r="E22" s="55"/>
      <c r="F22" s="120">
        <f>'Contrôle P3-5'!F22</f>
        <v>0</v>
      </c>
      <c r="G22" s="120">
        <f>'Contrôle P3-5'!G22</f>
        <v>0</v>
      </c>
      <c r="H22" s="120">
        <f>'Contrôle P3-5'!H22</f>
        <v>0</v>
      </c>
      <c r="I22" s="124">
        <f>'Contrôle P3-5'!I22</f>
        <v>0</v>
      </c>
      <c r="J22" s="127">
        <f>'Contrôle P3-5'!J22</f>
        <v>0</v>
      </c>
      <c r="K22" s="120">
        <f>'Contrôle P3-5'!K22</f>
        <v>0</v>
      </c>
      <c r="L22" s="120">
        <f>'Contrôle P3-5'!L22</f>
        <v>0</v>
      </c>
      <c r="M22" s="120">
        <f>'Contrôle P3-5'!M22</f>
        <v>0</v>
      </c>
      <c r="N22" s="124">
        <f>'Contrôle P3-5'!N22</f>
        <v>0</v>
      </c>
      <c r="O22" s="127">
        <f>'Contrôle P3-5'!O22</f>
        <v>0</v>
      </c>
      <c r="P22" s="120">
        <f>'Contrôle P3-5'!P22</f>
        <v>0</v>
      </c>
      <c r="Q22" s="120">
        <f>'Contrôle P3-5'!Q22</f>
        <v>0</v>
      </c>
      <c r="R22" s="120">
        <f>'Contrôle P3-5'!R22</f>
        <v>0</v>
      </c>
      <c r="S22" s="124">
        <f>'Contrôle P3-5'!S22</f>
        <v>0</v>
      </c>
      <c r="T22" s="127">
        <f>'Contrôle P3-5'!T22</f>
        <v>0</v>
      </c>
      <c r="U22" s="120">
        <f>'Contrôle P3-5'!U22</f>
        <v>0</v>
      </c>
      <c r="V22" s="120">
        <f>'Contrôle P3-5'!V22</f>
        <v>0</v>
      </c>
      <c r="W22" s="120">
        <f>'Contrôle P3-5'!W22</f>
        <v>0</v>
      </c>
      <c r="X22" s="124">
        <f>'Contrôle P3-5'!X22</f>
        <v>0</v>
      </c>
      <c r="Y22" s="127">
        <f>'Contrôle P3-5'!Y22</f>
        <v>0</v>
      </c>
      <c r="Z22" s="120">
        <f>'Contrôle P3-5'!Z22</f>
        <v>0</v>
      </c>
      <c r="AA22" s="120">
        <f>'Contrôle P3-5'!AA22</f>
        <v>0</v>
      </c>
      <c r="AB22" s="120">
        <f>'Contrôle P3-5'!AB22</f>
        <v>0</v>
      </c>
      <c r="AC22" s="124">
        <f>'Contrôle P3-5'!AC22</f>
        <v>0</v>
      </c>
      <c r="AD22" s="127">
        <f>'Contrôle P3-5'!AD22</f>
        <v>0</v>
      </c>
      <c r="AE22" s="120">
        <f>'Contrôle P3-5'!AE22</f>
        <v>0</v>
      </c>
      <c r="AF22" s="120">
        <f>'Contrôle P3-5'!AF22</f>
        <v>0</v>
      </c>
      <c r="AG22" s="120">
        <f>'Contrôle P3-5'!AG22</f>
        <v>0</v>
      </c>
      <c r="AH22" s="124">
        <f>'Contrôle P3-5'!AH22</f>
        <v>0</v>
      </c>
      <c r="AI22" s="122">
        <f>(SUM(E22:AH22))/13*60</f>
        <v>0</v>
      </c>
      <c r="AJ22" s="11"/>
      <c r="AK22" s="54" t="s">
        <v>42</v>
      </c>
      <c r="AL22" s="11"/>
      <c r="AM22" s="11"/>
      <c r="AN22" s="11"/>
      <c r="AP22" s="89" t="s">
        <v>45</v>
      </c>
      <c r="AQ22" s="147">
        <f>ROUND((3*G9+G8)/1000,1)</f>
        <v>8.6</v>
      </c>
      <c r="AR22" s="148"/>
      <c r="AS22" s="11" t="s">
        <v>46</v>
      </c>
      <c r="AT22" s="11"/>
      <c r="AU22" s="11"/>
      <c r="AV22" s="11"/>
      <c r="AW22" s="11"/>
      <c r="AX22" s="11"/>
      <c r="AY22" s="11"/>
    </row>
    <row r="23" spans="1:51" ht="18.75" x14ac:dyDescent="0.3">
      <c r="A23" s="31"/>
      <c r="B23" s="31"/>
      <c r="C23" s="31"/>
      <c r="D23" s="49" t="s">
        <v>74</v>
      </c>
      <c r="E23" s="55"/>
      <c r="F23" s="120">
        <f>'Contrôle P3-5'!F23</f>
        <v>0</v>
      </c>
      <c r="G23" s="120">
        <f>'Contrôle P3-5'!G23</f>
        <v>0</v>
      </c>
      <c r="H23" s="120">
        <f>'Contrôle P3-5'!H23</f>
        <v>0</v>
      </c>
      <c r="I23" s="124">
        <f>'Contrôle P3-5'!I23</f>
        <v>0</v>
      </c>
      <c r="J23" s="127">
        <f>'Contrôle P3-5'!J23</f>
        <v>0</v>
      </c>
      <c r="K23" s="120">
        <f>'Contrôle P3-5'!K23</f>
        <v>0</v>
      </c>
      <c r="L23" s="120">
        <f>'Contrôle P3-5'!L23</f>
        <v>0</v>
      </c>
      <c r="M23" s="120">
        <f>'Contrôle P3-5'!M23</f>
        <v>0</v>
      </c>
      <c r="N23" s="124">
        <f>'Contrôle P3-5'!N23</f>
        <v>0</v>
      </c>
      <c r="O23" s="127">
        <f>'Contrôle P3-5'!O23</f>
        <v>0</v>
      </c>
      <c r="P23" s="120">
        <f>'Contrôle P3-5'!P23</f>
        <v>0</v>
      </c>
      <c r="Q23" s="120">
        <f>'Contrôle P3-5'!Q23</f>
        <v>0</v>
      </c>
      <c r="R23" s="120">
        <f>'Contrôle P3-5'!R23</f>
        <v>0</v>
      </c>
      <c r="S23" s="124">
        <f>'Contrôle P3-5'!S23</f>
        <v>0</v>
      </c>
      <c r="T23" s="127">
        <f>'Contrôle P3-5'!T23</f>
        <v>0</v>
      </c>
      <c r="U23" s="120">
        <f>'Contrôle P3-5'!U23</f>
        <v>0</v>
      </c>
      <c r="V23" s="120">
        <f>'Contrôle P3-5'!V23</f>
        <v>0</v>
      </c>
      <c r="W23" s="120">
        <f>'Contrôle P3-5'!W23</f>
        <v>0</v>
      </c>
      <c r="X23" s="124">
        <f>'Contrôle P3-5'!X23</f>
        <v>0</v>
      </c>
      <c r="Y23" s="127">
        <f>'Contrôle P3-5'!Y23</f>
        <v>0</v>
      </c>
      <c r="Z23" s="120">
        <f>'Contrôle P3-5'!Z23</f>
        <v>0</v>
      </c>
      <c r="AA23" s="120">
        <f>'Contrôle P3-5'!AA23</f>
        <v>0</v>
      </c>
      <c r="AB23" s="120">
        <f>'Contrôle P3-5'!AB23</f>
        <v>0</v>
      </c>
      <c r="AC23" s="124">
        <f>'Contrôle P3-5'!AC23</f>
        <v>0</v>
      </c>
      <c r="AD23" s="127">
        <f>'Contrôle P3-5'!AD23</f>
        <v>0</v>
      </c>
      <c r="AE23" s="120">
        <f>'Contrôle P3-5'!AE23</f>
        <v>0</v>
      </c>
      <c r="AF23" s="120">
        <f>'Contrôle P3-5'!AF23</f>
        <v>0</v>
      </c>
      <c r="AG23" s="120">
        <f>'Contrôle P3-5'!AG23</f>
        <v>0</v>
      </c>
      <c r="AH23" s="124">
        <f>'Contrôle P3-5'!AH23</f>
        <v>0</v>
      </c>
      <c r="AI23" s="122">
        <f>(SUM(E23:AH23))/15*60</f>
        <v>0</v>
      </c>
      <c r="AJ23" s="11"/>
      <c r="AK23" s="36" t="s">
        <v>64</v>
      </c>
      <c r="AL23" s="11"/>
      <c r="AM23" s="11"/>
      <c r="AN23" s="11"/>
      <c r="AP23" s="89" t="s">
        <v>48</v>
      </c>
      <c r="AQ23" s="147">
        <f>ROUND((8*G9+5*G8)/1000,1)</f>
        <v>27.6</v>
      </c>
      <c r="AR23" s="148"/>
      <c r="AS23" s="11" t="s">
        <v>46</v>
      </c>
      <c r="AT23" s="11"/>
      <c r="AU23" s="11"/>
      <c r="AV23" s="11"/>
      <c r="AW23" s="11"/>
      <c r="AX23" s="11"/>
      <c r="AY23" s="11"/>
    </row>
    <row r="24" spans="1:51" ht="18.75" x14ac:dyDescent="0.3">
      <c r="A24" s="31"/>
      <c r="B24" s="31"/>
      <c r="C24" s="31"/>
      <c r="D24" s="49" t="s">
        <v>47</v>
      </c>
      <c r="E24" s="55"/>
      <c r="F24" s="120">
        <f>'Contrôle P3-5'!F24</f>
        <v>0</v>
      </c>
      <c r="G24" s="120">
        <f>'Contrôle P3-5'!G24</f>
        <v>0</v>
      </c>
      <c r="H24" s="120">
        <f>'Contrôle P3-5'!H24</f>
        <v>0</v>
      </c>
      <c r="I24" s="124">
        <f>'Contrôle P3-5'!I24</f>
        <v>0</v>
      </c>
      <c r="J24" s="127">
        <f>'Contrôle P3-5'!J24</f>
        <v>0</v>
      </c>
      <c r="K24" s="120">
        <f>'Contrôle P3-5'!K24</f>
        <v>0</v>
      </c>
      <c r="L24" s="120">
        <f>'Contrôle P3-5'!L24</f>
        <v>0</v>
      </c>
      <c r="M24" s="120">
        <f>'Contrôle P3-5'!M24</f>
        <v>0</v>
      </c>
      <c r="N24" s="124">
        <f>'Contrôle P3-5'!N24</f>
        <v>0</v>
      </c>
      <c r="O24" s="127">
        <f>'Contrôle P3-5'!O24</f>
        <v>0</v>
      </c>
      <c r="P24" s="120">
        <f>'Contrôle P3-5'!P24</f>
        <v>0</v>
      </c>
      <c r="Q24" s="120">
        <f>'Contrôle P3-5'!Q24</f>
        <v>0</v>
      </c>
      <c r="R24" s="120">
        <f>'Contrôle P3-5'!R24</f>
        <v>0</v>
      </c>
      <c r="S24" s="124">
        <f>'Contrôle P3-5'!S24</f>
        <v>0</v>
      </c>
      <c r="T24" s="127">
        <f>'Contrôle P3-5'!T24</f>
        <v>0</v>
      </c>
      <c r="U24" s="120">
        <f>'Contrôle P3-5'!U24</f>
        <v>0</v>
      </c>
      <c r="V24" s="120">
        <f>'Contrôle P3-5'!V24</f>
        <v>0</v>
      </c>
      <c r="W24" s="120">
        <f>'Contrôle P3-5'!W24</f>
        <v>0</v>
      </c>
      <c r="X24" s="124">
        <f>'Contrôle P3-5'!X24</f>
        <v>0</v>
      </c>
      <c r="Y24" s="127">
        <f>'Contrôle P3-5'!Y24</f>
        <v>0</v>
      </c>
      <c r="Z24" s="120">
        <f>'Contrôle P3-5'!Z24</f>
        <v>0</v>
      </c>
      <c r="AA24" s="120">
        <f>'Contrôle P3-5'!AA24</f>
        <v>0</v>
      </c>
      <c r="AB24" s="120">
        <f>'Contrôle P3-5'!AB24</f>
        <v>0</v>
      </c>
      <c r="AC24" s="124">
        <f>'Contrôle P3-5'!AC24</f>
        <v>0</v>
      </c>
      <c r="AD24" s="127">
        <f>'Contrôle P3-5'!AD24</f>
        <v>0</v>
      </c>
      <c r="AE24" s="120">
        <f>'Contrôle P3-5'!AE24</f>
        <v>0</v>
      </c>
      <c r="AF24" s="120">
        <f>'Contrôle P3-5'!AF24</f>
        <v>0</v>
      </c>
      <c r="AG24" s="120">
        <f>'Contrôle P3-5'!AG24</f>
        <v>0</v>
      </c>
      <c r="AH24" s="124">
        <f>'Contrôle P3-5'!AH24</f>
        <v>0</v>
      </c>
      <c r="AI24" s="122">
        <f>(SUM(E24:AH24))</f>
        <v>0</v>
      </c>
      <c r="AJ24" s="11"/>
      <c r="AL24" s="11"/>
      <c r="AM24" s="11"/>
      <c r="AN24" s="11"/>
      <c r="AP24" s="89" t="s">
        <v>50</v>
      </c>
      <c r="AQ24" s="147">
        <f>ROUND(G8/1000,1)</f>
        <v>2</v>
      </c>
      <c r="AR24" s="148"/>
      <c r="AS24" s="11" t="s">
        <v>46</v>
      </c>
      <c r="AT24" s="11"/>
      <c r="AU24" s="11"/>
      <c r="AV24" s="11"/>
      <c r="AW24" s="11"/>
      <c r="AX24" s="11"/>
      <c r="AY24" s="11"/>
    </row>
    <row r="25" spans="1:51" ht="18.75" x14ac:dyDescent="0.3">
      <c r="A25" s="31"/>
      <c r="B25" s="31"/>
      <c r="C25" s="31"/>
      <c r="D25" s="49" t="s">
        <v>49</v>
      </c>
      <c r="E25" s="55"/>
      <c r="F25" s="120">
        <f>'Contrôle P3-5'!F25</f>
        <v>0</v>
      </c>
      <c r="G25" s="120">
        <f>'Contrôle P3-5'!G25</f>
        <v>0</v>
      </c>
      <c r="H25" s="120">
        <f>'Contrôle P3-5'!H25</f>
        <v>0</v>
      </c>
      <c r="I25" s="124">
        <f>'Contrôle P3-5'!I25</f>
        <v>0</v>
      </c>
      <c r="J25" s="127">
        <f>'Contrôle P3-5'!J25</f>
        <v>0</v>
      </c>
      <c r="K25" s="120">
        <f>'Contrôle P3-5'!K25</f>
        <v>0</v>
      </c>
      <c r="L25" s="120">
        <f>'Contrôle P3-5'!L25</f>
        <v>0</v>
      </c>
      <c r="M25" s="120">
        <f>'Contrôle P3-5'!M25</f>
        <v>0</v>
      </c>
      <c r="N25" s="124">
        <f>'Contrôle P3-5'!N25</f>
        <v>0</v>
      </c>
      <c r="O25" s="127">
        <f>'Contrôle P3-5'!O25</f>
        <v>0</v>
      </c>
      <c r="P25" s="120">
        <f>'Contrôle P3-5'!P25</f>
        <v>0</v>
      </c>
      <c r="Q25" s="120">
        <f>'Contrôle P3-5'!Q25</f>
        <v>0</v>
      </c>
      <c r="R25" s="120">
        <f>'Contrôle P3-5'!R25</f>
        <v>0</v>
      </c>
      <c r="S25" s="124">
        <f>'Contrôle P3-5'!S25</f>
        <v>0</v>
      </c>
      <c r="T25" s="127">
        <f>'Contrôle P3-5'!T25</f>
        <v>0</v>
      </c>
      <c r="U25" s="120">
        <f>'Contrôle P3-5'!U25</f>
        <v>0</v>
      </c>
      <c r="V25" s="120">
        <f>'Contrôle P3-5'!V25</f>
        <v>0</v>
      </c>
      <c r="W25" s="120">
        <f>'Contrôle P3-5'!W25</f>
        <v>0</v>
      </c>
      <c r="X25" s="124">
        <f>'Contrôle P3-5'!X25</f>
        <v>0</v>
      </c>
      <c r="Y25" s="127">
        <f>'Contrôle P3-5'!Y25</f>
        <v>0</v>
      </c>
      <c r="Z25" s="120">
        <f>'Contrôle P3-5'!Z25</f>
        <v>0</v>
      </c>
      <c r="AA25" s="120">
        <f>'Contrôle P3-5'!AA25</f>
        <v>0</v>
      </c>
      <c r="AB25" s="120">
        <f>'Contrôle P3-5'!AB25</f>
        <v>0</v>
      </c>
      <c r="AC25" s="124">
        <f>'Contrôle P3-5'!AC25</f>
        <v>0</v>
      </c>
      <c r="AD25" s="127">
        <f>'Contrôle P3-5'!AD25</f>
        <v>0</v>
      </c>
      <c r="AE25" s="120">
        <f>'Contrôle P3-5'!AE25</f>
        <v>0</v>
      </c>
      <c r="AF25" s="120">
        <f>'Contrôle P3-5'!AF25</f>
        <v>0</v>
      </c>
      <c r="AG25" s="120">
        <f>'Contrôle P3-5'!AG25</f>
        <v>0</v>
      </c>
      <c r="AH25" s="124">
        <f>'Contrôle P3-5'!AH25</f>
        <v>0</v>
      </c>
      <c r="AI25" s="122">
        <f>(SUM(E25:AH25))/2</f>
        <v>0</v>
      </c>
      <c r="AJ25" s="11"/>
      <c r="AK25" s="11"/>
      <c r="AL25" s="11"/>
      <c r="AM25" s="11"/>
      <c r="AN25" s="11"/>
      <c r="AP25" s="89" t="s">
        <v>51</v>
      </c>
      <c r="AQ25" s="147">
        <f>ROUND((4*G9+2*G8)/1000,1)</f>
        <v>12.8</v>
      </c>
      <c r="AR25" s="148"/>
      <c r="AS25" s="11" t="s">
        <v>46</v>
      </c>
      <c r="AT25" s="11"/>
      <c r="AU25" s="11"/>
      <c r="AV25" s="11"/>
      <c r="AW25" s="11"/>
      <c r="AX25" s="11"/>
      <c r="AY25" s="11"/>
    </row>
    <row r="26" spans="1:51" ht="21.75" thickBot="1" x14ac:dyDescent="0.4">
      <c r="A26" s="31"/>
      <c r="B26" s="31"/>
      <c r="C26" s="31"/>
      <c r="D26" s="49"/>
      <c r="E26" s="59"/>
      <c r="F26" s="125">
        <f>'Contrôle P3-5'!F26</f>
        <v>0</v>
      </c>
      <c r="G26" s="125">
        <f>'Contrôle P3-5'!G26</f>
        <v>0</v>
      </c>
      <c r="H26" s="125">
        <f>'Contrôle P3-5'!H26</f>
        <v>0</v>
      </c>
      <c r="I26" s="126">
        <f>'Contrôle P3-5'!I26</f>
        <v>0</v>
      </c>
      <c r="J26" s="128">
        <f>'Contrôle P3-5'!J26</f>
        <v>0</v>
      </c>
      <c r="K26" s="125">
        <f>'Contrôle P3-5'!K26</f>
        <v>0</v>
      </c>
      <c r="L26" s="125">
        <f>'Contrôle P3-5'!L26</f>
        <v>0</v>
      </c>
      <c r="M26" s="125">
        <f>'Contrôle P3-5'!M26</f>
        <v>0</v>
      </c>
      <c r="N26" s="126">
        <f>'Contrôle P3-5'!N26</f>
        <v>0</v>
      </c>
      <c r="O26" s="128">
        <f>'Contrôle P3-5'!O26</f>
        <v>0</v>
      </c>
      <c r="P26" s="125">
        <f>'Contrôle P3-5'!P26</f>
        <v>0</v>
      </c>
      <c r="Q26" s="125">
        <f>'Contrôle P3-5'!Q26</f>
        <v>0</v>
      </c>
      <c r="R26" s="125">
        <f>'Contrôle P3-5'!R26</f>
        <v>0</v>
      </c>
      <c r="S26" s="126">
        <f>'Contrôle P3-5'!S26</f>
        <v>0</v>
      </c>
      <c r="T26" s="128">
        <f>'Contrôle P3-5'!T26</f>
        <v>0</v>
      </c>
      <c r="U26" s="125">
        <f>'Contrôle P3-5'!U26</f>
        <v>0</v>
      </c>
      <c r="V26" s="125">
        <f>'Contrôle P3-5'!V26</f>
        <v>0</v>
      </c>
      <c r="W26" s="125">
        <f>'Contrôle P3-5'!W26</f>
        <v>0</v>
      </c>
      <c r="X26" s="126">
        <f>'Contrôle P3-5'!X26</f>
        <v>0</v>
      </c>
      <c r="Y26" s="128">
        <f>'Contrôle P3-5'!Y26</f>
        <v>0</v>
      </c>
      <c r="Z26" s="125">
        <f>'Contrôle P3-5'!Z26</f>
        <v>0</v>
      </c>
      <c r="AA26" s="125">
        <f>'Contrôle P3-5'!AA26</f>
        <v>0</v>
      </c>
      <c r="AB26" s="125">
        <f>'Contrôle P3-5'!AB26</f>
        <v>0</v>
      </c>
      <c r="AC26" s="126">
        <f>'Contrôle P3-5'!AC26</f>
        <v>0</v>
      </c>
      <c r="AD26" s="128">
        <f>'Contrôle P3-5'!AD26</f>
        <v>0</v>
      </c>
      <c r="AE26" s="125">
        <f>'Contrôle P3-5'!AE26</f>
        <v>0</v>
      </c>
      <c r="AF26" s="125">
        <f>'Contrôle P3-5'!AF26</f>
        <v>0</v>
      </c>
      <c r="AG26" s="125">
        <f>'Contrôle P3-5'!AG26</f>
        <v>0</v>
      </c>
      <c r="AH26" s="126">
        <f>'Contrôle P3-5'!AH26</f>
        <v>0</v>
      </c>
      <c r="AI26" s="123"/>
      <c r="AJ26" s="11"/>
      <c r="AK26" s="11" t="s">
        <v>59</v>
      </c>
      <c r="AL26" s="11"/>
      <c r="AM26" s="11"/>
      <c r="AN26" s="11"/>
      <c r="AO26" s="89"/>
      <c r="AP26" s="89"/>
      <c r="AQ26" s="162">
        <f>SUM(AQ22:AR25)*9</f>
        <v>459</v>
      </c>
      <c r="AR26" s="163"/>
      <c r="AS26" s="11" t="s">
        <v>46</v>
      </c>
      <c r="AT26" s="11"/>
      <c r="AU26" s="11"/>
      <c r="AV26" s="11"/>
      <c r="AW26" s="11"/>
      <c r="AX26" s="11"/>
      <c r="AY26" s="11"/>
    </row>
    <row r="27" spans="1:51" ht="18.75" x14ac:dyDescent="0.3">
      <c r="A27" s="63"/>
      <c r="B27" s="63"/>
      <c r="C27" s="63"/>
      <c r="D27" s="64"/>
      <c r="E27" s="65">
        <f t="shared" ref="E27:AH27" si="0">SUM(E17:E26)</f>
        <v>0</v>
      </c>
      <c r="F27" s="65">
        <f t="shared" si="0"/>
        <v>3.6</v>
      </c>
      <c r="G27" s="65">
        <f t="shared" si="0"/>
        <v>0</v>
      </c>
      <c r="H27" s="65">
        <f t="shared" si="0"/>
        <v>0</v>
      </c>
      <c r="I27" s="65">
        <f t="shared" si="0"/>
        <v>0</v>
      </c>
      <c r="J27" s="65">
        <f t="shared" si="0"/>
        <v>0</v>
      </c>
      <c r="K27" s="65">
        <f t="shared" si="0"/>
        <v>0</v>
      </c>
      <c r="L27" s="65">
        <f t="shared" si="0"/>
        <v>0</v>
      </c>
      <c r="M27" s="65">
        <f t="shared" si="0"/>
        <v>0</v>
      </c>
      <c r="N27" s="65">
        <f t="shared" si="0"/>
        <v>0</v>
      </c>
      <c r="O27" s="65">
        <f t="shared" si="0"/>
        <v>0</v>
      </c>
      <c r="P27" s="65">
        <f t="shared" si="0"/>
        <v>0</v>
      </c>
      <c r="Q27" s="65">
        <f t="shared" si="0"/>
        <v>0</v>
      </c>
      <c r="R27" s="65">
        <f t="shared" si="0"/>
        <v>0</v>
      </c>
      <c r="S27" s="65">
        <f t="shared" si="0"/>
        <v>0</v>
      </c>
      <c r="T27" s="65">
        <f t="shared" si="0"/>
        <v>0</v>
      </c>
      <c r="U27" s="65">
        <f t="shared" si="0"/>
        <v>0</v>
      </c>
      <c r="V27" s="65">
        <f t="shared" si="0"/>
        <v>0</v>
      </c>
      <c r="W27" s="65">
        <f t="shared" si="0"/>
        <v>0</v>
      </c>
      <c r="X27" s="65">
        <f t="shared" si="0"/>
        <v>0</v>
      </c>
      <c r="Y27" s="65">
        <f t="shared" si="0"/>
        <v>0</v>
      </c>
      <c r="Z27" s="65">
        <f t="shared" si="0"/>
        <v>0</v>
      </c>
      <c r="AA27" s="65">
        <f t="shared" si="0"/>
        <v>0</v>
      </c>
      <c r="AB27" s="65">
        <f t="shared" si="0"/>
        <v>0</v>
      </c>
      <c r="AC27" s="65">
        <f t="shared" si="0"/>
        <v>0</v>
      </c>
      <c r="AD27" s="65">
        <f t="shared" si="0"/>
        <v>0</v>
      </c>
      <c r="AE27" s="65">
        <f t="shared" si="0"/>
        <v>0</v>
      </c>
      <c r="AF27" s="65">
        <f t="shared" si="0"/>
        <v>0</v>
      </c>
      <c r="AG27" s="65">
        <f t="shared" si="0"/>
        <v>0</v>
      </c>
      <c r="AH27" s="65">
        <f t="shared" si="0"/>
        <v>0</v>
      </c>
      <c r="AI27" s="66"/>
      <c r="AJ27" s="67"/>
      <c r="AK27" s="93" t="s">
        <v>54</v>
      </c>
      <c r="AL27" s="93" t="s">
        <v>55</v>
      </c>
      <c r="AM27" s="93" t="s">
        <v>56</v>
      </c>
      <c r="AN27" s="90"/>
      <c r="AO27" s="67"/>
      <c r="AP27" s="67"/>
      <c r="AQ27" s="67"/>
      <c r="AR27" s="67"/>
      <c r="AS27" s="67"/>
      <c r="AT27" s="67"/>
      <c r="AU27" s="67"/>
      <c r="AV27" s="67"/>
      <c r="AW27" s="67"/>
      <c r="AX27" s="68"/>
      <c r="AY27" s="68"/>
    </row>
    <row r="28" spans="1:51" ht="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69"/>
      <c r="AJ28" s="92" t="s">
        <v>30</v>
      </c>
      <c r="AK28" s="94">
        <v>215023</v>
      </c>
      <c r="AL28" s="94">
        <v>18</v>
      </c>
      <c r="AM28" s="94">
        <f>G8*AL28</f>
        <v>35730</v>
      </c>
      <c r="AN28" s="91"/>
      <c r="AO28" s="11" t="s">
        <v>60</v>
      </c>
      <c r="AP28" s="11"/>
      <c r="AQ28" s="11"/>
      <c r="AR28" s="11"/>
      <c r="AS28" s="70"/>
      <c r="AT28" s="70"/>
      <c r="AU28" s="70"/>
      <c r="AV28" s="70"/>
      <c r="AW28" s="70"/>
      <c r="AX28" s="11"/>
      <c r="AY28" s="11"/>
    </row>
    <row r="29" spans="1:51" ht="21" x14ac:dyDescent="0.35">
      <c r="A29" s="11"/>
      <c r="B29" s="11"/>
      <c r="C29" s="11"/>
      <c r="D29" s="11"/>
      <c r="F29" s="11"/>
      <c r="G29" s="11"/>
      <c r="H29" s="89" t="s">
        <v>52</v>
      </c>
      <c r="I29" s="164" t="s">
        <v>13</v>
      </c>
      <c r="J29" s="165"/>
      <c r="K29" s="165"/>
      <c r="L29" s="165"/>
      <c r="M29" s="165"/>
      <c r="N29" s="166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69"/>
      <c r="AJ29" s="92" t="s">
        <v>61</v>
      </c>
      <c r="AK29" s="94">
        <v>215023</v>
      </c>
      <c r="AL29" s="94">
        <v>18</v>
      </c>
      <c r="AM29" s="94">
        <f>AL29*G9</f>
        <v>39726</v>
      </c>
      <c r="AN29" s="91"/>
      <c r="AO29" s="93" t="s">
        <v>54</v>
      </c>
      <c r="AP29" s="93" t="s">
        <v>55</v>
      </c>
      <c r="AQ29" s="71"/>
      <c r="AR29" s="71"/>
      <c r="AS29" s="11" t="s">
        <v>65</v>
      </c>
      <c r="AT29" s="11"/>
      <c r="AU29" s="11"/>
      <c r="AV29" s="70"/>
      <c r="AW29" s="70"/>
      <c r="AX29" s="11"/>
      <c r="AY29" s="11"/>
    </row>
    <row r="30" spans="1:51" ht="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69"/>
      <c r="AJ30" s="70"/>
      <c r="AK30" s="91"/>
      <c r="AL30" s="92" t="s">
        <v>57</v>
      </c>
      <c r="AM30" s="94">
        <f>SUM(AM28:AM29)</f>
        <v>75456</v>
      </c>
      <c r="AN30" s="91" t="s">
        <v>58</v>
      </c>
      <c r="AO30" s="97">
        <v>250180</v>
      </c>
      <c r="AP30" s="97">
        <f>8*9</f>
        <v>72</v>
      </c>
      <c r="AQ30" s="91" t="s">
        <v>62</v>
      </c>
      <c r="AR30" s="71"/>
      <c r="AS30" s="93" t="s">
        <v>54</v>
      </c>
      <c r="AT30" s="93" t="s">
        <v>55</v>
      </c>
      <c r="AU30" s="71"/>
      <c r="AV30" s="70"/>
      <c r="AW30" s="70"/>
      <c r="AX30" s="11"/>
      <c r="AY30" s="11"/>
    </row>
    <row r="31" spans="1:51" ht="15.75" thickBo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69"/>
      <c r="AJ31" s="70"/>
      <c r="AK31" s="91"/>
      <c r="AL31" s="92" t="s">
        <v>57</v>
      </c>
      <c r="AM31" s="94">
        <f>ROUND(AM30/1000,1)</f>
        <v>75.5</v>
      </c>
      <c r="AN31" s="91" t="s">
        <v>79</v>
      </c>
      <c r="AO31" s="97">
        <v>215186</v>
      </c>
      <c r="AP31" s="97">
        <v>9</v>
      </c>
      <c r="AQ31" s="91" t="s">
        <v>63</v>
      </c>
      <c r="AR31" s="71"/>
      <c r="AS31" s="103">
        <v>131299</v>
      </c>
      <c r="AT31" s="103">
        <v>9</v>
      </c>
      <c r="AU31" s="91" t="s">
        <v>67</v>
      </c>
      <c r="AV31" s="70"/>
      <c r="AW31" s="70"/>
      <c r="AX31" s="11"/>
      <c r="AY31" s="11"/>
    </row>
    <row r="32" spans="1:51" ht="15.75" customHeight="1" x14ac:dyDescent="0.25">
      <c r="A32" s="11"/>
      <c r="B32" s="11"/>
      <c r="C32" s="11"/>
      <c r="D32" s="100"/>
      <c r="E32" s="151">
        <v>41883</v>
      </c>
      <c r="F32" s="152"/>
      <c r="G32" s="152"/>
      <c r="H32" s="152"/>
      <c r="I32" s="152"/>
      <c r="J32" s="151">
        <f>E32</f>
        <v>41883</v>
      </c>
      <c r="K32" s="152"/>
      <c r="L32" s="152"/>
      <c r="M32" s="152"/>
      <c r="N32" s="153"/>
      <c r="O32" s="151">
        <f>J32</f>
        <v>41883</v>
      </c>
      <c r="P32" s="152"/>
      <c r="Q32" s="152"/>
      <c r="R32" s="152"/>
      <c r="S32" s="153"/>
      <c r="T32" s="151">
        <f>O32</f>
        <v>41883</v>
      </c>
      <c r="U32" s="152"/>
      <c r="V32" s="152"/>
      <c r="W32" s="152"/>
      <c r="X32" s="153"/>
      <c r="Y32" s="151">
        <f>T32</f>
        <v>41883</v>
      </c>
      <c r="Z32" s="152"/>
      <c r="AA32" s="152"/>
      <c r="AB32" s="152"/>
      <c r="AC32" s="153"/>
      <c r="AD32" s="151">
        <f>Y32</f>
        <v>41883</v>
      </c>
      <c r="AE32" s="152"/>
      <c r="AF32" s="152"/>
      <c r="AG32" s="152"/>
      <c r="AH32" s="153"/>
      <c r="AI32" s="154" t="s">
        <v>69</v>
      </c>
      <c r="AJ32" s="70"/>
      <c r="AK32" s="70"/>
      <c r="AL32" s="70"/>
      <c r="AM32" s="70"/>
      <c r="AN32" s="70"/>
      <c r="AO32" s="91"/>
      <c r="AP32" s="92"/>
      <c r="AQ32" s="71"/>
      <c r="AR32" s="71"/>
      <c r="AS32" s="103">
        <v>591005</v>
      </c>
      <c r="AT32" s="103">
        <v>72</v>
      </c>
      <c r="AU32" s="91" t="s">
        <v>66</v>
      </c>
      <c r="AV32" s="70"/>
      <c r="AW32" s="70"/>
      <c r="AX32" s="11"/>
      <c r="AY32" s="11"/>
    </row>
    <row r="33" spans="1:52" ht="15.75" x14ac:dyDescent="0.25">
      <c r="A33" s="11"/>
      <c r="B33" s="11"/>
      <c r="C33" s="11"/>
      <c r="D33" s="100"/>
      <c r="E33" s="37" t="s">
        <v>30</v>
      </c>
      <c r="F33" s="38" t="s">
        <v>31</v>
      </c>
      <c r="G33" s="38" t="s">
        <v>31</v>
      </c>
      <c r="H33" s="38" t="s">
        <v>32</v>
      </c>
      <c r="I33" s="39" t="s">
        <v>33</v>
      </c>
      <c r="J33" s="37" t="s">
        <v>30</v>
      </c>
      <c r="K33" s="38" t="s">
        <v>31</v>
      </c>
      <c r="L33" s="38" t="s">
        <v>31</v>
      </c>
      <c r="M33" s="38" t="s">
        <v>32</v>
      </c>
      <c r="N33" s="40" t="s">
        <v>33</v>
      </c>
      <c r="O33" s="37" t="s">
        <v>30</v>
      </c>
      <c r="P33" s="38" t="s">
        <v>31</v>
      </c>
      <c r="Q33" s="38" t="s">
        <v>31</v>
      </c>
      <c r="R33" s="38" t="s">
        <v>32</v>
      </c>
      <c r="S33" s="40" t="s">
        <v>33</v>
      </c>
      <c r="T33" s="37" t="s">
        <v>30</v>
      </c>
      <c r="U33" s="38" t="s">
        <v>31</v>
      </c>
      <c r="V33" s="38" t="s">
        <v>31</v>
      </c>
      <c r="W33" s="38" t="s">
        <v>32</v>
      </c>
      <c r="X33" s="40" t="s">
        <v>33</v>
      </c>
      <c r="Y33" s="37" t="s">
        <v>30</v>
      </c>
      <c r="Z33" s="38" t="s">
        <v>31</v>
      </c>
      <c r="AA33" s="38" t="s">
        <v>31</v>
      </c>
      <c r="AB33" s="38" t="s">
        <v>32</v>
      </c>
      <c r="AC33" s="40" t="s">
        <v>33</v>
      </c>
      <c r="AD33" s="37" t="s">
        <v>30</v>
      </c>
      <c r="AE33" s="38" t="s">
        <v>31</v>
      </c>
      <c r="AF33" s="38" t="s">
        <v>31</v>
      </c>
      <c r="AG33" s="38" t="s">
        <v>32</v>
      </c>
      <c r="AH33" s="40" t="s">
        <v>33</v>
      </c>
      <c r="AI33" s="155"/>
      <c r="AJ33" s="70"/>
      <c r="AK33" s="70"/>
      <c r="AL33" s="70"/>
      <c r="AM33" s="70"/>
      <c r="AN33" s="70"/>
      <c r="AO33" s="91"/>
      <c r="AP33" s="92"/>
      <c r="AQ33" s="71"/>
      <c r="AR33" s="71"/>
      <c r="AS33" s="103">
        <v>591007</v>
      </c>
      <c r="AT33" s="103">
        <v>27</v>
      </c>
      <c r="AU33" s="91" t="s">
        <v>68</v>
      </c>
      <c r="AV33" s="70"/>
      <c r="AW33" s="70"/>
      <c r="AX33" s="11"/>
      <c r="AY33" s="11"/>
    </row>
    <row r="34" spans="1:52" ht="15.75" x14ac:dyDescent="0.25">
      <c r="A34" s="11"/>
      <c r="B34" s="11"/>
      <c r="C34" s="11"/>
      <c r="D34" s="100"/>
      <c r="E34" s="42">
        <v>1</v>
      </c>
      <c r="F34" s="43">
        <v>2</v>
      </c>
      <c r="G34" s="43">
        <v>3</v>
      </c>
      <c r="H34" s="43">
        <v>4</v>
      </c>
      <c r="I34" s="44">
        <v>5</v>
      </c>
      <c r="J34" s="42">
        <v>6</v>
      </c>
      <c r="K34" s="43">
        <v>7</v>
      </c>
      <c r="L34" s="43">
        <v>8</v>
      </c>
      <c r="M34" s="43">
        <v>9</v>
      </c>
      <c r="N34" s="45">
        <v>10</v>
      </c>
      <c r="O34" s="42">
        <v>11</v>
      </c>
      <c r="P34" s="43">
        <v>12</v>
      </c>
      <c r="Q34" s="43">
        <v>13</v>
      </c>
      <c r="R34" s="43">
        <v>14</v>
      </c>
      <c r="S34" s="45">
        <v>15</v>
      </c>
      <c r="T34" s="42">
        <v>16</v>
      </c>
      <c r="U34" s="43">
        <v>17</v>
      </c>
      <c r="V34" s="43">
        <v>18</v>
      </c>
      <c r="W34" s="43">
        <v>19</v>
      </c>
      <c r="X34" s="45">
        <v>20</v>
      </c>
      <c r="Y34" s="42">
        <v>21</v>
      </c>
      <c r="Z34" s="43">
        <v>22</v>
      </c>
      <c r="AA34" s="43">
        <v>23</v>
      </c>
      <c r="AB34" s="43">
        <v>24</v>
      </c>
      <c r="AC34" s="45">
        <v>25</v>
      </c>
      <c r="AD34" s="42">
        <v>26</v>
      </c>
      <c r="AE34" s="43">
        <v>27</v>
      </c>
      <c r="AF34" s="43">
        <v>28</v>
      </c>
      <c r="AG34" s="43">
        <v>29</v>
      </c>
      <c r="AH34" s="45">
        <v>30</v>
      </c>
      <c r="AI34" s="155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91">
        <f>AT31+AT32+AT33</f>
        <v>108</v>
      </c>
      <c r="AU34" s="71"/>
      <c r="AV34" s="71"/>
      <c r="AW34" s="70"/>
      <c r="AX34" s="11"/>
      <c r="AY34" s="11"/>
    </row>
    <row r="35" spans="1:52" ht="16.5" thickBot="1" x14ac:dyDescent="0.3">
      <c r="A35" s="11"/>
      <c r="B35" s="11"/>
      <c r="C35" s="11"/>
      <c r="D35" s="100"/>
      <c r="E35" s="46"/>
      <c r="F35" s="47"/>
      <c r="G35" s="47"/>
      <c r="H35" s="47"/>
      <c r="I35" s="48"/>
      <c r="J35" s="46"/>
      <c r="K35" s="47"/>
      <c r="L35" s="47"/>
      <c r="M35" s="47"/>
      <c r="N35" s="48"/>
      <c r="O35" s="46"/>
      <c r="P35" s="47"/>
      <c r="Q35" s="47"/>
      <c r="R35" s="47"/>
      <c r="S35" s="48"/>
      <c r="T35" s="46"/>
      <c r="U35" s="47"/>
      <c r="V35" s="47"/>
      <c r="W35" s="47"/>
      <c r="X35" s="48"/>
      <c r="Y35" s="46"/>
      <c r="Z35" s="47"/>
      <c r="AA35" s="47"/>
      <c r="AB35" s="47"/>
      <c r="AC35" s="48"/>
      <c r="AD35" s="46"/>
      <c r="AE35" s="47"/>
      <c r="AF35" s="47"/>
      <c r="AG35" s="47"/>
      <c r="AH35" s="48"/>
      <c r="AI35" s="156"/>
      <c r="AJ35" s="129">
        <f>IF(F36=F17,3,0)</f>
        <v>3</v>
      </c>
      <c r="AK35" s="130"/>
      <c r="AL35" s="130"/>
      <c r="AM35" s="130"/>
      <c r="AN35" s="130"/>
      <c r="AO35" s="130"/>
      <c r="AP35" s="130"/>
      <c r="AQ35" s="130"/>
      <c r="AR35" s="130"/>
      <c r="AS35" s="130"/>
      <c r="AT35" s="131"/>
      <c r="AU35" s="130"/>
      <c r="AV35" s="130"/>
      <c r="AW35" s="70"/>
      <c r="AX35" s="11"/>
      <c r="AY35" s="11"/>
    </row>
    <row r="36" spans="1:52" ht="18.75" x14ac:dyDescent="0.25">
      <c r="A36" s="11"/>
      <c r="B36" s="11"/>
      <c r="C36" s="11"/>
      <c r="D36" s="49" t="s">
        <v>35</v>
      </c>
      <c r="E36" s="72"/>
      <c r="F36" s="96">
        <f>36*6/60</f>
        <v>3.6</v>
      </c>
      <c r="G36" s="74"/>
      <c r="H36" s="74"/>
      <c r="I36" s="73"/>
      <c r="J36" s="72"/>
      <c r="K36" s="74"/>
      <c r="L36" s="74"/>
      <c r="M36" s="74"/>
      <c r="N36" s="73"/>
      <c r="O36" s="72"/>
      <c r="P36" s="74"/>
      <c r="Q36" s="74"/>
      <c r="R36" s="74"/>
      <c r="S36" s="73"/>
      <c r="T36" s="72"/>
      <c r="U36" s="74"/>
      <c r="V36" s="74"/>
      <c r="W36" s="74"/>
      <c r="X36" s="75"/>
      <c r="Y36" s="72"/>
      <c r="Z36" s="74"/>
      <c r="AA36" s="74"/>
      <c r="AB36" s="74"/>
      <c r="AC36" s="75"/>
      <c r="AD36" s="72"/>
      <c r="AE36" s="74"/>
      <c r="AF36" s="74"/>
      <c r="AG36" s="74"/>
      <c r="AH36" s="75"/>
      <c r="AI36" s="104">
        <f>(SUM(E36:AH36))/6*60</f>
        <v>36</v>
      </c>
      <c r="AJ36" s="129">
        <f>IF(F37=F18,3,0)</f>
        <v>0</v>
      </c>
      <c r="AK36" s="129">
        <f>IF(G37=G18,3,0)</f>
        <v>0</v>
      </c>
      <c r="AL36" s="129">
        <f>IF(H37=H18,3,0)</f>
        <v>0</v>
      </c>
      <c r="AM36" s="129"/>
      <c r="AN36" s="129"/>
      <c r="AO36" s="129"/>
      <c r="AP36" s="129"/>
      <c r="AQ36" s="129"/>
      <c r="AR36" s="129"/>
      <c r="AS36" s="129"/>
      <c r="AT36" s="130"/>
      <c r="AU36" s="130"/>
      <c r="AV36" s="130"/>
      <c r="AW36" s="70"/>
      <c r="AX36" s="11"/>
      <c r="AY36" s="11"/>
    </row>
    <row r="37" spans="1:52" ht="18.75" x14ac:dyDescent="0.25">
      <c r="A37" s="11"/>
      <c r="B37" s="11"/>
      <c r="C37" s="11"/>
      <c r="D37" s="49" t="s">
        <v>36</v>
      </c>
      <c r="E37" s="72"/>
      <c r="F37" s="99">
        <f>25*8/60</f>
        <v>3.3333333333333335</v>
      </c>
      <c r="G37" s="99">
        <f>52*8/60</f>
        <v>6.9333333333333336</v>
      </c>
      <c r="H37" s="99">
        <f>4*8/60</f>
        <v>0.53333333333333333</v>
      </c>
      <c r="I37" s="73"/>
      <c r="J37" s="72"/>
      <c r="K37" s="74"/>
      <c r="L37" s="74"/>
      <c r="M37" s="74"/>
      <c r="N37" s="73"/>
      <c r="O37" s="84"/>
      <c r="P37" s="85"/>
      <c r="Q37" s="74"/>
      <c r="R37" s="74"/>
      <c r="S37" s="73"/>
      <c r="T37" s="72"/>
      <c r="U37" s="74"/>
      <c r="V37" s="74"/>
      <c r="W37" s="74"/>
      <c r="X37" s="73"/>
      <c r="Y37" s="72"/>
      <c r="Z37" s="74"/>
      <c r="AA37" s="74"/>
      <c r="AB37" s="74"/>
      <c r="AC37" s="75"/>
      <c r="AD37" s="72"/>
      <c r="AE37" s="74"/>
      <c r="AF37" s="74"/>
      <c r="AG37" s="74"/>
      <c r="AH37" s="75"/>
      <c r="AI37" s="105">
        <f>(SUM(E37:AH37))/8*60</f>
        <v>81</v>
      </c>
      <c r="AJ37" s="129"/>
      <c r="AK37" s="129"/>
      <c r="AL37" s="129">
        <f>IF(H38=H19,3,0)</f>
        <v>0</v>
      </c>
      <c r="AM37" s="129">
        <f>IF(I38=I19,3,0)</f>
        <v>0</v>
      </c>
      <c r="AN37" s="129"/>
      <c r="AO37" s="129"/>
      <c r="AP37" s="129"/>
      <c r="AQ37" s="129"/>
      <c r="AR37" s="129"/>
      <c r="AS37" s="129"/>
      <c r="AT37" s="130"/>
      <c r="AU37" s="130"/>
      <c r="AV37" s="130"/>
      <c r="AW37" s="70"/>
      <c r="AX37" s="11"/>
      <c r="AY37" s="11"/>
    </row>
    <row r="38" spans="1:52" ht="18.75" x14ac:dyDescent="0.25">
      <c r="A38" s="11"/>
      <c r="B38" s="11"/>
      <c r="C38" s="11"/>
      <c r="D38" s="49" t="s">
        <v>70</v>
      </c>
      <c r="E38" s="76"/>
      <c r="F38" s="78"/>
      <c r="G38" s="78"/>
      <c r="H38" s="78">
        <f>48*8/60</f>
        <v>6.4</v>
      </c>
      <c r="I38" s="77">
        <f>30*8/60</f>
        <v>4</v>
      </c>
      <c r="J38" s="86"/>
      <c r="K38" s="87">
        <f>30*8/60</f>
        <v>4</v>
      </c>
      <c r="L38" s="87"/>
      <c r="M38" s="74"/>
      <c r="N38" s="77"/>
      <c r="O38" s="84"/>
      <c r="P38" s="88"/>
      <c r="Q38" s="78"/>
      <c r="R38" s="78"/>
      <c r="S38" s="77"/>
      <c r="T38" s="76"/>
      <c r="U38" s="78"/>
      <c r="V38" s="78"/>
      <c r="W38" s="78"/>
      <c r="X38" s="77"/>
      <c r="Y38" s="76"/>
      <c r="Z38" s="78"/>
      <c r="AA38" s="78"/>
      <c r="AB38" s="78"/>
      <c r="AC38" s="77"/>
      <c r="AD38" s="76"/>
      <c r="AE38" s="78"/>
      <c r="AF38" s="78"/>
      <c r="AG38" s="78"/>
      <c r="AH38" s="79"/>
      <c r="AI38" s="105">
        <f>(SUM(E38:AH38))/8*60</f>
        <v>108</v>
      </c>
      <c r="AJ38" s="129"/>
      <c r="AK38" s="129"/>
      <c r="AL38" s="129"/>
      <c r="AM38" s="129"/>
      <c r="AN38" s="129">
        <f>IF(K38=K19,3,0)</f>
        <v>0</v>
      </c>
      <c r="AO38" s="129">
        <f>IF(L38=L19,3,0)</f>
        <v>3</v>
      </c>
      <c r="AP38" s="129"/>
      <c r="AQ38" s="129"/>
      <c r="AR38" s="129"/>
      <c r="AS38" s="129"/>
      <c r="AT38" s="130"/>
      <c r="AU38" s="130"/>
      <c r="AV38" s="130"/>
      <c r="AW38" s="70"/>
      <c r="AX38" s="11"/>
      <c r="AY38" s="11"/>
    </row>
    <row r="39" spans="1:52" ht="18.75" x14ac:dyDescent="0.25">
      <c r="A39" s="11"/>
      <c r="B39" s="11"/>
      <c r="C39" s="11"/>
      <c r="D39" s="49" t="s">
        <v>39</v>
      </c>
      <c r="E39" s="76"/>
      <c r="F39" s="78"/>
      <c r="G39" s="78"/>
      <c r="H39" s="78"/>
      <c r="I39" s="77"/>
      <c r="J39" s="72"/>
      <c r="K39" s="78">
        <f>25*7/60</f>
        <v>2.9166666666666665</v>
      </c>
      <c r="L39" s="78">
        <f>47*7/60</f>
        <v>5.4833333333333334</v>
      </c>
      <c r="M39" s="74"/>
      <c r="N39" s="77"/>
      <c r="O39" s="84"/>
      <c r="P39" s="88"/>
      <c r="Q39" s="78"/>
      <c r="R39" s="78"/>
      <c r="S39" s="77"/>
      <c r="T39" s="76"/>
      <c r="U39" s="78"/>
      <c r="V39" s="78"/>
      <c r="W39" s="78"/>
      <c r="X39" s="77"/>
      <c r="Y39" s="76"/>
      <c r="Z39" s="78"/>
      <c r="AA39" s="78"/>
      <c r="AB39" s="78"/>
      <c r="AC39" s="77"/>
      <c r="AD39" s="76"/>
      <c r="AE39" s="78"/>
      <c r="AF39" s="78"/>
      <c r="AG39" s="78"/>
      <c r="AH39" s="79"/>
      <c r="AI39" s="105">
        <f>(SUM(E39:AH39))/7*60</f>
        <v>72</v>
      </c>
      <c r="AJ39" s="129"/>
      <c r="AK39" s="129"/>
      <c r="AL39" s="129"/>
      <c r="AM39" s="129"/>
      <c r="AN39" s="129"/>
      <c r="AO39" s="129">
        <f>IF(K39=L20,3,0)</f>
        <v>0</v>
      </c>
      <c r="AP39" s="129">
        <f>IF(L39=M20,3,0)</f>
        <v>0</v>
      </c>
      <c r="AQ39" s="129"/>
      <c r="AR39" s="129"/>
      <c r="AS39" s="129"/>
      <c r="AT39" s="130"/>
      <c r="AU39" s="130"/>
      <c r="AV39" s="130"/>
      <c r="AW39" s="70"/>
      <c r="AX39" s="11"/>
      <c r="AY39" s="11"/>
    </row>
    <row r="40" spans="1:52" ht="18.75" x14ac:dyDescent="0.25">
      <c r="A40" s="11"/>
      <c r="B40" s="11"/>
      <c r="C40" s="11"/>
      <c r="D40" s="49" t="s">
        <v>41</v>
      </c>
      <c r="E40" s="76"/>
      <c r="F40" s="78"/>
      <c r="G40" s="78"/>
      <c r="H40" s="78"/>
      <c r="I40" s="77"/>
      <c r="J40" s="72"/>
      <c r="K40" s="78"/>
      <c r="L40" s="78">
        <f>46*2/60</f>
        <v>1.5333333333333334</v>
      </c>
      <c r="M40" s="78">
        <f>211*2/60</f>
        <v>7.0333333333333332</v>
      </c>
      <c r="N40" s="77">
        <f>121*2/60</f>
        <v>4.0333333333333332</v>
      </c>
      <c r="O40" s="84">
        <f>81*2/60</f>
        <v>2.7</v>
      </c>
      <c r="P40" s="78"/>
      <c r="Q40" s="78"/>
      <c r="R40" s="78"/>
      <c r="S40" s="77"/>
      <c r="T40" s="76"/>
      <c r="U40" s="78"/>
      <c r="V40" s="78"/>
      <c r="W40" s="78"/>
      <c r="X40" s="77"/>
      <c r="Y40" s="76"/>
      <c r="Z40" s="78"/>
      <c r="AA40" s="78"/>
      <c r="AB40" s="78"/>
      <c r="AC40" s="77"/>
      <c r="AD40" s="76"/>
      <c r="AE40" s="78"/>
      <c r="AF40" s="78"/>
      <c r="AG40" s="78"/>
      <c r="AH40" s="79"/>
      <c r="AI40" s="105">
        <f>(SUM(E40:AH40))/2*60</f>
        <v>459</v>
      </c>
      <c r="AJ40" s="129"/>
      <c r="AK40" s="129"/>
      <c r="AL40" s="129"/>
      <c r="AM40" s="129"/>
      <c r="AN40" s="129"/>
      <c r="AO40" s="129"/>
      <c r="AP40" s="129">
        <f>IF(L40=M21,3,0)</f>
        <v>0</v>
      </c>
      <c r="AQ40" s="129">
        <f>IF(N40=N21,3,0)</f>
        <v>0</v>
      </c>
      <c r="AR40" s="129">
        <f t="shared" ref="AR40" si="1">IF(O40=O21,3,0)</f>
        <v>0</v>
      </c>
      <c r="AS40" s="129">
        <f>IF(P40=P21,3,0)</f>
        <v>3</v>
      </c>
      <c r="AT40" s="129">
        <f>IF(Q40=Q21,3,0)</f>
        <v>3</v>
      </c>
      <c r="AU40" s="130"/>
      <c r="AV40" s="130"/>
      <c r="AW40" s="70"/>
      <c r="AX40" s="11"/>
      <c r="AY40" s="11"/>
    </row>
    <row r="41" spans="1:52" ht="18.75" x14ac:dyDescent="0.25">
      <c r="A41" s="11"/>
      <c r="B41" s="11"/>
      <c r="C41" s="11"/>
      <c r="D41" s="49" t="s">
        <v>43</v>
      </c>
      <c r="E41" s="76"/>
      <c r="F41" s="78"/>
      <c r="G41" s="78"/>
      <c r="H41" s="78"/>
      <c r="I41" s="77"/>
      <c r="J41" s="72"/>
      <c r="K41" s="78"/>
      <c r="L41" s="78"/>
      <c r="M41" s="78"/>
      <c r="N41" s="77"/>
      <c r="O41" s="84">
        <f>18*13/60</f>
        <v>3.9</v>
      </c>
      <c r="P41" s="78"/>
      <c r="Q41" s="78"/>
      <c r="R41" s="78"/>
      <c r="S41" s="77"/>
      <c r="T41" s="76"/>
      <c r="U41" s="78"/>
      <c r="V41" s="78"/>
      <c r="W41" s="78"/>
      <c r="X41" s="77"/>
      <c r="Y41" s="76"/>
      <c r="Z41" s="78"/>
      <c r="AA41" s="78"/>
      <c r="AB41" s="78"/>
      <c r="AC41" s="77"/>
      <c r="AD41" s="76"/>
      <c r="AE41" s="78"/>
      <c r="AF41" s="78"/>
      <c r="AG41" s="78"/>
      <c r="AH41" s="79"/>
      <c r="AI41" s="105">
        <f>(SUM(E41:AH41))/13*60</f>
        <v>18</v>
      </c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>
        <f>IF(O41=Q22,3,0)</f>
        <v>0</v>
      </c>
      <c r="AU41" s="130"/>
      <c r="AV41" s="130"/>
      <c r="AW41" s="70"/>
      <c r="AX41" s="11"/>
      <c r="AY41" s="11"/>
    </row>
    <row r="42" spans="1:52" ht="18.75" x14ac:dyDescent="0.25">
      <c r="A42" s="11"/>
      <c r="B42" s="11"/>
      <c r="C42" s="11"/>
      <c r="D42" s="49" t="s">
        <v>74</v>
      </c>
      <c r="E42" s="76"/>
      <c r="F42" s="78"/>
      <c r="G42" s="78"/>
      <c r="H42" s="78"/>
      <c r="I42" s="77"/>
      <c r="J42" s="72"/>
      <c r="K42" s="78"/>
      <c r="L42" s="78"/>
      <c r="M42" s="78"/>
      <c r="N42" s="77"/>
      <c r="O42" s="84">
        <f>1*15/60</f>
        <v>0.25</v>
      </c>
      <c r="P42" s="78">
        <f>8*15/60</f>
        <v>2</v>
      </c>
      <c r="Q42" s="78"/>
      <c r="R42" s="78"/>
      <c r="S42" s="77"/>
      <c r="T42" s="76"/>
      <c r="U42" s="78"/>
      <c r="V42" s="78"/>
      <c r="W42" s="78"/>
      <c r="X42" s="77"/>
      <c r="Y42" s="76"/>
      <c r="Z42" s="78"/>
      <c r="AA42" s="78"/>
      <c r="AB42" s="78"/>
      <c r="AC42" s="77"/>
      <c r="AD42" s="76"/>
      <c r="AE42" s="78"/>
      <c r="AF42" s="78"/>
      <c r="AG42" s="78"/>
      <c r="AH42" s="79"/>
      <c r="AI42" s="105">
        <f>(SUM(E42:AH42))/15*60</f>
        <v>9</v>
      </c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>
        <f>IF(O42=Q23,3,0)</f>
        <v>0</v>
      </c>
      <c r="AU42" s="129"/>
      <c r="AV42" s="130"/>
      <c r="AW42" s="70"/>
      <c r="AX42" s="11"/>
      <c r="AY42" s="11"/>
    </row>
    <row r="43" spans="1:52" ht="18.75" x14ac:dyDescent="0.25">
      <c r="A43" s="11"/>
      <c r="B43" s="11"/>
      <c r="C43" s="11"/>
      <c r="D43" s="49" t="s">
        <v>47</v>
      </c>
      <c r="E43" s="76"/>
      <c r="F43" s="78"/>
      <c r="G43" s="78"/>
      <c r="H43" s="78"/>
      <c r="I43" s="77"/>
      <c r="J43" s="72"/>
      <c r="K43" s="78"/>
      <c r="L43" s="78"/>
      <c r="M43" s="78"/>
      <c r="N43" s="77"/>
      <c r="O43" s="84"/>
      <c r="P43" s="78">
        <v>2</v>
      </c>
      <c r="Q43" s="78"/>
      <c r="R43" s="78"/>
      <c r="S43" s="77"/>
      <c r="T43" s="76"/>
      <c r="U43" s="78"/>
      <c r="V43" s="78"/>
      <c r="W43" s="78"/>
      <c r="X43" s="77"/>
      <c r="Y43" s="76"/>
      <c r="Z43" s="78"/>
      <c r="AA43" s="78"/>
      <c r="AB43" s="78"/>
      <c r="AC43" s="77"/>
      <c r="AD43" s="76"/>
      <c r="AE43" s="78"/>
      <c r="AF43" s="78"/>
      <c r="AG43" s="78"/>
      <c r="AH43" s="79"/>
      <c r="AI43" s="105">
        <f>(SUM(E43:AH43))</f>
        <v>2</v>
      </c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>
        <f>IF(P43=R24,3,0)</f>
        <v>0</v>
      </c>
      <c r="AV43" s="130"/>
      <c r="AW43" s="70"/>
      <c r="AX43" s="11"/>
      <c r="AY43" s="11"/>
    </row>
    <row r="44" spans="1:52" ht="18.75" x14ac:dyDescent="0.25">
      <c r="A44" s="11"/>
      <c r="B44" s="11"/>
      <c r="C44" s="11"/>
      <c r="D44" s="49" t="s">
        <v>49</v>
      </c>
      <c r="E44" s="76"/>
      <c r="F44" s="78"/>
      <c r="G44" s="78"/>
      <c r="H44" s="78"/>
      <c r="I44" s="77"/>
      <c r="J44" s="76"/>
      <c r="K44" s="78"/>
      <c r="L44" s="78"/>
      <c r="M44" s="78"/>
      <c r="N44" s="77"/>
      <c r="O44" s="84"/>
      <c r="P44" s="78">
        <v>3</v>
      </c>
      <c r="Q44" s="78">
        <v>7</v>
      </c>
      <c r="R44" s="78">
        <v>7</v>
      </c>
      <c r="S44" s="77">
        <v>1</v>
      </c>
      <c r="T44" s="76"/>
      <c r="U44" s="78"/>
      <c r="V44" s="78"/>
      <c r="W44" s="78"/>
      <c r="X44" s="77"/>
      <c r="Y44" s="76"/>
      <c r="Z44" s="78"/>
      <c r="AA44" s="78"/>
      <c r="AB44" s="78"/>
      <c r="AC44" s="77"/>
      <c r="AD44" s="76"/>
      <c r="AE44" s="78"/>
      <c r="AF44" s="78"/>
      <c r="AG44" s="78"/>
      <c r="AH44" s="79"/>
      <c r="AI44" s="105">
        <f>(SUM(E44:AH44))/2</f>
        <v>9</v>
      </c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30"/>
      <c r="AU44" s="129">
        <f>IF(P44=R25,3,0)</f>
        <v>0</v>
      </c>
      <c r="AV44" s="129" t="e">
        <f>IF(#REF!=S25,3,0)</f>
        <v>#REF!</v>
      </c>
      <c r="AW44" s="129" t="e">
        <f>IF(#REF!=T25,3,0)</f>
        <v>#REF!</v>
      </c>
      <c r="AX44" s="129" t="e">
        <f>IF(#REF!=U25,3,0)</f>
        <v>#REF!</v>
      </c>
      <c r="AY44" s="134" t="e">
        <f>SUM(AJ35:AX44)</f>
        <v>#REF!</v>
      </c>
      <c r="AZ44" s="12">
        <f>22*3</f>
        <v>66</v>
      </c>
    </row>
    <row r="45" spans="1:52" ht="19.5" thickBot="1" x14ac:dyDescent="0.3">
      <c r="A45" s="11"/>
      <c r="B45" s="11"/>
      <c r="C45" s="11"/>
      <c r="D45" s="100"/>
      <c r="E45" s="80"/>
      <c r="F45" s="81"/>
      <c r="G45" s="81"/>
      <c r="H45" s="81"/>
      <c r="I45" s="82"/>
      <c r="J45" s="80"/>
      <c r="K45" s="81"/>
      <c r="L45" s="81"/>
      <c r="M45" s="81"/>
      <c r="N45" s="83"/>
      <c r="O45" s="80"/>
      <c r="P45" s="81"/>
      <c r="Q45" s="81"/>
      <c r="R45" s="81"/>
      <c r="S45" s="82"/>
      <c r="T45" s="80"/>
      <c r="U45" s="81"/>
      <c r="V45" s="81"/>
      <c r="W45" s="81"/>
      <c r="X45" s="82"/>
      <c r="Y45" s="80"/>
      <c r="Z45" s="81"/>
      <c r="AA45" s="81"/>
      <c r="AB45" s="81"/>
      <c r="AC45" s="82"/>
      <c r="AD45" s="80"/>
      <c r="AE45" s="81"/>
      <c r="AF45" s="81"/>
      <c r="AG45" s="81"/>
      <c r="AH45" s="83"/>
      <c r="AI45" s="106"/>
      <c r="AJ45" s="129"/>
      <c r="AK45" s="132" t="s">
        <v>13</v>
      </c>
      <c r="AL45" s="133"/>
      <c r="AM45" s="133"/>
      <c r="AN45" s="129"/>
      <c r="AO45" s="129"/>
      <c r="AP45" s="129"/>
      <c r="AQ45" s="129"/>
      <c r="AR45" s="129"/>
      <c r="AS45" s="129"/>
      <c r="AT45" s="130"/>
      <c r="AU45" s="130"/>
      <c r="AV45" s="130"/>
      <c r="AW45" s="70"/>
      <c r="AX45" s="11"/>
      <c r="AY45" s="11"/>
    </row>
    <row r="46" spans="1:52" ht="15.75" x14ac:dyDescent="0.25">
      <c r="A46" s="11"/>
      <c r="B46" s="11"/>
      <c r="C46" s="11"/>
      <c r="D46" s="11"/>
      <c r="E46" s="65">
        <f t="shared" ref="E46:AH46" si="2">SUM(E36:E45)</f>
        <v>0</v>
      </c>
      <c r="F46" s="65">
        <f t="shared" si="2"/>
        <v>6.9333333333333336</v>
      </c>
      <c r="G46" s="65">
        <f t="shared" si="2"/>
        <v>6.9333333333333336</v>
      </c>
      <c r="H46" s="65">
        <f t="shared" si="2"/>
        <v>6.9333333333333336</v>
      </c>
      <c r="I46" s="65">
        <f t="shared" si="2"/>
        <v>4</v>
      </c>
      <c r="J46" s="65">
        <f t="shared" si="2"/>
        <v>0</v>
      </c>
      <c r="K46" s="65">
        <f t="shared" si="2"/>
        <v>6.9166666666666661</v>
      </c>
      <c r="L46" s="65">
        <f t="shared" si="2"/>
        <v>7.0166666666666666</v>
      </c>
      <c r="M46" s="65">
        <f t="shared" si="2"/>
        <v>7.0333333333333332</v>
      </c>
      <c r="N46" s="65">
        <f t="shared" si="2"/>
        <v>4.0333333333333332</v>
      </c>
      <c r="O46" s="65">
        <f t="shared" si="2"/>
        <v>6.85</v>
      </c>
      <c r="P46" s="65">
        <f t="shared" si="2"/>
        <v>7</v>
      </c>
      <c r="Q46" s="65">
        <f t="shared" si="2"/>
        <v>7</v>
      </c>
      <c r="R46" s="65">
        <f t="shared" si="2"/>
        <v>7</v>
      </c>
      <c r="S46" s="65">
        <f t="shared" si="2"/>
        <v>1</v>
      </c>
      <c r="T46" s="65">
        <f t="shared" si="2"/>
        <v>0</v>
      </c>
      <c r="U46" s="65">
        <f t="shared" si="2"/>
        <v>0</v>
      </c>
      <c r="V46" s="65">
        <f t="shared" si="2"/>
        <v>0</v>
      </c>
      <c r="W46" s="65">
        <f t="shared" si="2"/>
        <v>0</v>
      </c>
      <c r="X46" s="65">
        <f t="shared" si="2"/>
        <v>0</v>
      </c>
      <c r="Y46" s="65">
        <f t="shared" si="2"/>
        <v>0</v>
      </c>
      <c r="Z46" s="65">
        <f t="shared" si="2"/>
        <v>0</v>
      </c>
      <c r="AA46" s="65">
        <f t="shared" si="2"/>
        <v>0</v>
      </c>
      <c r="AB46" s="65">
        <f t="shared" si="2"/>
        <v>0</v>
      </c>
      <c r="AC46" s="65">
        <f t="shared" si="2"/>
        <v>0</v>
      </c>
      <c r="AD46" s="65">
        <f t="shared" si="2"/>
        <v>0</v>
      </c>
      <c r="AE46" s="65">
        <f t="shared" si="2"/>
        <v>0</v>
      </c>
      <c r="AF46" s="65">
        <f t="shared" si="2"/>
        <v>0</v>
      </c>
      <c r="AG46" s="65">
        <f t="shared" si="2"/>
        <v>0</v>
      </c>
      <c r="AH46" s="65">
        <f t="shared" si="2"/>
        <v>0</v>
      </c>
      <c r="AI46" s="69"/>
      <c r="AJ46" s="70"/>
      <c r="AK46" s="102">
        <v>41888</v>
      </c>
      <c r="AL46" s="101"/>
      <c r="AM46" s="101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11"/>
      <c r="AY46" s="11"/>
    </row>
    <row r="47" spans="1:52" ht="1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69"/>
      <c r="AJ47" s="70"/>
      <c r="AK47" s="102">
        <f>AK46+1</f>
        <v>41889</v>
      </c>
      <c r="AL47" s="101"/>
      <c r="AM47" s="101"/>
      <c r="AN47" s="70"/>
      <c r="AO47" s="70"/>
      <c r="AP47" s="70"/>
      <c r="AQ47" s="70"/>
      <c r="AR47" s="70"/>
      <c r="AS47" s="70"/>
      <c r="AT47" s="11"/>
      <c r="AU47" s="11"/>
      <c r="AV47" s="11"/>
      <c r="AW47" s="11"/>
      <c r="AX47" s="11"/>
      <c r="AY47" s="11"/>
    </row>
    <row r="48" spans="1:52" ht="1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69"/>
      <c r="AJ48" s="70"/>
      <c r="AK48" s="102">
        <f t="shared" ref="AK48:AK58" si="3">AK47+1</f>
        <v>41890</v>
      </c>
      <c r="AL48" s="101"/>
      <c r="AM48" s="101"/>
      <c r="AN48" s="70"/>
      <c r="AO48" s="70"/>
      <c r="AP48" s="70"/>
      <c r="AQ48" s="70"/>
      <c r="AR48" s="70"/>
      <c r="AS48" s="70"/>
      <c r="AT48" s="11"/>
      <c r="AU48" s="11"/>
      <c r="AV48" s="11"/>
      <c r="AW48" s="11"/>
      <c r="AX48" s="11"/>
      <c r="AY48" s="11"/>
    </row>
    <row r="49" spans="1:51" ht="21" x14ac:dyDescent="0.35">
      <c r="A49" s="11"/>
      <c r="B49" s="11"/>
      <c r="C49" s="11"/>
      <c r="D49" s="11"/>
      <c r="E49" s="11"/>
      <c r="F49" s="11"/>
      <c r="G49" s="11"/>
      <c r="H49" s="89" t="s">
        <v>52</v>
      </c>
      <c r="I49" s="167">
        <v>41897</v>
      </c>
      <c r="J49" s="168"/>
      <c r="K49" s="168"/>
      <c r="L49" s="168"/>
      <c r="M49" s="168"/>
      <c r="N49" s="169"/>
      <c r="O49" s="70">
        <f>IF(I49=I29,3,0)</f>
        <v>0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69"/>
      <c r="AJ49" s="70"/>
      <c r="AK49" s="102">
        <f t="shared" si="3"/>
        <v>41891</v>
      </c>
      <c r="AL49" s="101"/>
      <c r="AM49" s="101"/>
      <c r="AN49" s="70"/>
      <c r="AO49" s="70"/>
      <c r="AP49" s="70"/>
      <c r="AQ49" s="70"/>
      <c r="AR49" s="70"/>
      <c r="AS49" s="70"/>
      <c r="AT49" s="11"/>
      <c r="AU49" s="11"/>
      <c r="AV49" s="11"/>
      <c r="AW49" s="11"/>
      <c r="AX49" s="11"/>
      <c r="AY49" s="11"/>
    </row>
    <row r="50" spans="1:51" ht="15" x14ac:dyDescent="0.25">
      <c r="AI50" s="12"/>
      <c r="AJ50" s="12"/>
      <c r="AK50" s="102">
        <f t="shared" si="3"/>
        <v>41892</v>
      </c>
      <c r="AL50" s="101"/>
      <c r="AM50" s="101"/>
      <c r="AN50" s="12"/>
      <c r="AO50" s="12"/>
      <c r="AP50" s="12"/>
      <c r="AQ50" s="12"/>
      <c r="AR50" s="12"/>
      <c r="AS50" s="12"/>
    </row>
    <row r="51" spans="1:51" ht="15" x14ac:dyDescent="0.25">
      <c r="AI51" s="12"/>
      <c r="AJ51" s="12"/>
      <c r="AK51" s="102">
        <f t="shared" si="3"/>
        <v>41893</v>
      </c>
      <c r="AL51" s="101"/>
      <c r="AM51" s="101"/>
      <c r="AN51" s="12"/>
      <c r="AO51" s="12"/>
      <c r="AP51" s="12"/>
      <c r="AQ51" s="12"/>
      <c r="AR51" s="12"/>
      <c r="AS51" s="12"/>
    </row>
    <row r="52" spans="1:51" ht="15" x14ac:dyDescent="0.25">
      <c r="AI52" s="12"/>
      <c r="AJ52" s="12"/>
      <c r="AK52" s="102">
        <f t="shared" si="3"/>
        <v>41894</v>
      </c>
      <c r="AL52" s="101"/>
      <c r="AM52" s="101"/>
      <c r="AN52" s="12"/>
      <c r="AO52" s="12"/>
      <c r="AP52" s="12"/>
      <c r="AQ52" s="12"/>
      <c r="AR52" s="12"/>
      <c r="AS52" s="12"/>
    </row>
    <row r="53" spans="1:51" ht="15" x14ac:dyDescent="0.25">
      <c r="AI53" s="12"/>
      <c r="AJ53" s="12"/>
      <c r="AK53" s="102">
        <f t="shared" si="3"/>
        <v>41895</v>
      </c>
      <c r="AL53" s="101"/>
      <c r="AM53" s="101"/>
      <c r="AN53" s="12"/>
      <c r="AO53" s="12"/>
      <c r="AP53" s="12"/>
      <c r="AQ53" s="12"/>
      <c r="AR53" s="12"/>
      <c r="AS53" s="12"/>
    </row>
    <row r="54" spans="1:51" ht="15" x14ac:dyDescent="0.25">
      <c r="AI54" s="12"/>
      <c r="AJ54" s="12"/>
      <c r="AK54" s="102">
        <f t="shared" si="3"/>
        <v>41896</v>
      </c>
      <c r="AL54" s="101"/>
      <c r="AM54" s="101"/>
      <c r="AN54" s="12"/>
      <c r="AO54" s="12"/>
      <c r="AP54" s="12"/>
      <c r="AQ54" s="12"/>
      <c r="AR54" s="12"/>
      <c r="AS54" s="12"/>
    </row>
    <row r="55" spans="1:51" ht="15" x14ac:dyDescent="0.25">
      <c r="AK55" s="102">
        <f t="shared" si="3"/>
        <v>41897</v>
      </c>
      <c r="AL55" s="101"/>
      <c r="AM55" s="101"/>
    </row>
    <row r="56" spans="1:51" ht="15" x14ac:dyDescent="0.25">
      <c r="AK56" s="102">
        <f t="shared" si="3"/>
        <v>41898</v>
      </c>
      <c r="AL56" s="101"/>
      <c r="AM56" s="101"/>
    </row>
    <row r="57" spans="1:51" ht="15" x14ac:dyDescent="0.25">
      <c r="AK57" s="102">
        <f t="shared" si="3"/>
        <v>41899</v>
      </c>
      <c r="AL57" s="101"/>
      <c r="AM57" s="101"/>
    </row>
    <row r="58" spans="1:51" ht="15" x14ac:dyDescent="0.25">
      <c r="AK58" s="102">
        <f t="shared" si="3"/>
        <v>41900</v>
      </c>
      <c r="AL58" s="101"/>
      <c r="AM58" s="101"/>
    </row>
  </sheetData>
  <sheetProtection selectLockedCells="1"/>
  <mergeCells count="32">
    <mergeCell ref="B5:D5"/>
    <mergeCell ref="AI13:AI16"/>
    <mergeCell ref="AI32:AI35"/>
    <mergeCell ref="AC2:AD2"/>
    <mergeCell ref="B1:G1"/>
    <mergeCell ref="H1:Z1"/>
    <mergeCell ref="C2:S2"/>
    <mergeCell ref="T2:Y2"/>
    <mergeCell ref="Z2:AA2"/>
    <mergeCell ref="AC1:AD1"/>
    <mergeCell ref="G8:H8"/>
    <mergeCell ref="G9:H9"/>
    <mergeCell ref="E13:I13"/>
    <mergeCell ref="J13:N13"/>
    <mergeCell ref="O13:S13"/>
    <mergeCell ref="AQ23:AR23"/>
    <mergeCell ref="AQ24:AR24"/>
    <mergeCell ref="AQ25:AR25"/>
    <mergeCell ref="T13:X13"/>
    <mergeCell ref="Y13:AC13"/>
    <mergeCell ref="AD13:AH13"/>
    <mergeCell ref="AQ22:AR22"/>
    <mergeCell ref="AQ21:AR21"/>
    <mergeCell ref="I49:N49"/>
    <mergeCell ref="AQ26:AR26"/>
    <mergeCell ref="I29:N29"/>
    <mergeCell ref="E32:I32"/>
    <mergeCell ref="J32:N32"/>
    <mergeCell ref="O32:S32"/>
    <mergeCell ref="T32:X32"/>
    <mergeCell ref="Y32:AC32"/>
    <mergeCell ref="AD32:AH32"/>
  </mergeCells>
  <phoneticPr fontId="2" type="noConversion"/>
  <dataValidations count="3">
    <dataValidation type="list" allowBlank="1" showInputMessage="1" showErrorMessage="1" sqref="H1:AB1">
      <formula1>$B$4:$G$4</formula1>
    </dataValidation>
    <dataValidation type="list" allowBlank="1" showInputMessage="1" showErrorMessage="1" sqref="C2">
      <formula1>$D$3:$K$3</formula1>
    </dataValidation>
    <dataValidation type="list" allowBlank="1" showInputMessage="1" showErrorMessage="1" sqref="I29:N29 I49:N49">
      <formula1>$AK$45:$AK$58</formula1>
    </dataValidation>
  </dataValidations>
  <printOptions horizontalCentered="1"/>
  <pageMargins left="0.19685039370078741" right="0.23622047244094491" top="0.27559055118110237" bottom="0.27559055118110237" header="0.31496062992125984" footer="0.31496062992125984"/>
  <pageSetup paperSize="9" scale="6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Contrôle P3-5</vt:lpstr>
      <vt:lpstr>Corrigé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OBAVMS08</dc:creator>
  <cp:lastModifiedBy>SYLVAIN LE CORRE</cp:lastModifiedBy>
  <cp:lastPrinted>2013-01-31T15:00:02Z</cp:lastPrinted>
  <dcterms:created xsi:type="dcterms:W3CDTF">2012-10-19T05:33:19Z</dcterms:created>
  <dcterms:modified xsi:type="dcterms:W3CDTF">2026-04-27T15:36:34Z</dcterms:modified>
</cp:coreProperties>
</file>